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740" activeTab="0"/>
  </bookViews>
  <sheets>
    <sheet name="№3" sheetId="1" r:id="rId1"/>
    <sheet name="№4" sheetId="2" r:id="rId2"/>
    <sheet name="XLR_NoRangeSheet" sheetId="3" state="veryHidden" r:id="rId3"/>
  </sheets>
  <definedNames>
    <definedName name="_xlfn.SINGLE" hidden="1">#NAME?</definedName>
    <definedName name="_xlnm._FilterDatabase" localSheetId="0" hidden="1">'№3'!$A$16:$T$62</definedName>
    <definedName name="range_dat">#REF!</definedName>
    <definedName name="title_PES" hidden="1">'XLR_NoRangeSheet'!$B$6</definedName>
    <definedName name="title_SUB" hidden="1">'XLR_NoRangeSheet'!$C$6</definedName>
    <definedName name="XLR_ERRNAMESTR" hidden="1">'XLR_NoRangeSheet'!$B$5</definedName>
    <definedName name="XLR_VERSION" hidden="1">'XLR_NoRangeSheet'!$A$5</definedName>
    <definedName name="_xlnm.Print_Area" localSheetId="0">'№3'!$A$1:$T$65</definedName>
    <definedName name="_xlnm.Print_Area" localSheetId="1">'№4'!$A$5:$I$26</definedName>
  </definedNames>
  <calcPr fullCalcOnLoad="1"/>
</workbook>
</file>

<file path=xl/sharedStrings.xml><?xml version="1.0" encoding="utf-8"?>
<sst xmlns="http://schemas.openxmlformats.org/spreadsheetml/2006/main" count="447" uniqueCount="136">
  <si>
    <t>4.4, Standard  (build 124-AX)</t>
  </si>
  <si>
    <t>title</t>
  </si>
  <si>
    <t xml:space="preserve">Рязанское отделение РЭСК                                         </t>
  </si>
  <si>
    <t xml:space="preserve">                                                                 </t>
  </si>
  <si>
    <t>Итого</t>
  </si>
  <si>
    <t>№              п/п</t>
  </si>
  <si>
    <t>График</t>
  </si>
  <si>
    <t>Потребитель</t>
  </si>
  <si>
    <t>персоналом потребителя), ОВБ - персоналом ОВБ, ДД - персоналом с дежурством на дому.</t>
  </si>
  <si>
    <t>___________________________</t>
  </si>
  <si>
    <t>нар. Итог</t>
  </si>
  <si>
    <t>осн потреб</t>
  </si>
  <si>
    <t>нагр.</t>
  </si>
  <si>
    <t>присое-е</t>
  </si>
  <si>
    <t>#</t>
  </si>
  <si>
    <t>№ очереди</t>
  </si>
  <si>
    <t>Нагрузка -нарастающий итог,                                МВт</t>
  </si>
  <si>
    <r>
      <t>Способ ввода графиков</t>
    </r>
    <r>
      <rPr>
        <b/>
        <vertAlign val="superscript"/>
        <sz val="12"/>
        <rFont val="Arial CYR"/>
        <family val="2"/>
      </rPr>
      <t>1</t>
    </r>
  </si>
  <si>
    <t>временного отключения потребления</t>
  </si>
  <si>
    <t>Утверждаю</t>
  </si>
  <si>
    <r>
      <t>1</t>
    </r>
    <r>
      <rPr>
        <b/>
        <sz val="11"/>
        <rFont val="Arial Cyr"/>
        <family val="2"/>
      </rPr>
      <t xml:space="preserve">Заполняется: ДУ - с использованием дистанционного управления, ОП - постоянным оперативным персоналом энергообъекта (в том числе </t>
    </r>
  </si>
  <si>
    <t>Наименование фидера, № ТП</t>
  </si>
  <si>
    <t>Наименование подстанции (питающий центр)</t>
  </si>
  <si>
    <t>Нагрузка фидера (ТП), МВт</t>
  </si>
  <si>
    <r>
      <t xml:space="preserve">Время отключения </t>
    </r>
    <r>
      <rPr>
        <b/>
        <vertAlign val="superscript"/>
        <sz val="12"/>
        <rFont val="Arial CYR"/>
        <family val="2"/>
      </rPr>
      <t>2, мин</t>
    </r>
  </si>
  <si>
    <t>( наименование вторичного получателя команд об аварийных ограничениях)</t>
  </si>
  <si>
    <t xml:space="preserve">Время отключения 5 мин ставить при условии возможности отключения фидеров с использованием ДУ (дистанционный ввод графика </t>
  </si>
  <si>
    <t>временного отключения потребления, подачей одной команды ТУ на каждую очередь).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</si>
  <si>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</si>
  <si>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</si>
  <si>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</si>
  <si>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</si>
  <si>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</si>
  <si>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</si>
  <si>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</si>
  <si>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</si>
  <si>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</si>
  <si>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</si>
  <si>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Суточное потребление эл. энергии потребителя, тыс.кВт*ч.</t>
  </si>
  <si>
    <t>Аварийная броня, тыс.кВт*ч.</t>
  </si>
  <si>
    <t>Технологическая броня, тыс.кВт*ч.</t>
  </si>
  <si>
    <t>Отопление, не относящееся к АБ и ТБ, тыс.кВт*ч.</t>
  </si>
  <si>
    <t>№ фидера</t>
  </si>
  <si>
    <t>№ РП (ТП)</t>
  </si>
  <si>
    <t>Итого **</t>
  </si>
  <si>
    <t>Величина ограничения *, т.кВт*ч</t>
  </si>
  <si>
    <t>* -определяется по формуле:10=6-7-8-9</t>
  </si>
  <si>
    <r>
      <t>* *-</t>
    </r>
    <r>
      <rPr>
        <b/>
        <sz val="10"/>
        <rFont val="Arial Cyr"/>
        <family val="0"/>
      </rPr>
      <t>Заполняется нарастающим итогом</t>
    </r>
  </si>
  <si>
    <t>(название ВПК)</t>
  </si>
  <si>
    <t>Очередь ограничения, тыс.кВт.ч.</t>
  </si>
  <si>
    <t>Приложение № 4-ВПК</t>
  </si>
  <si>
    <t>Приложение №3-ВПК</t>
  </si>
  <si>
    <r>
      <t>2</t>
    </r>
    <r>
      <rPr>
        <b/>
        <sz val="11"/>
        <rFont val="Arial Cyr"/>
        <family val="2"/>
      </rPr>
      <t>Время отключения фидера с момента отдачи команды диспетчером ЦУС филиала "Рязаньэнерго" ПАО "МРСК Центра и Приволжья</t>
    </r>
  </si>
  <si>
    <t>Потребители</t>
  </si>
  <si>
    <t xml:space="preserve">                     (роспись, печать)            (расшифровка)</t>
  </si>
  <si>
    <t>Совмещение с графиком ограничения режима потребления эл.мощности, МВт</t>
  </si>
  <si>
    <t>ограничения режима потребления электрической энергии</t>
  </si>
  <si>
    <t>Генеральный директор ООО "Энергопром 21"</t>
  </si>
  <si>
    <t>______________ М.С. Шевченко</t>
  </si>
  <si>
    <t>Главный инженер ООО "Энергопром 21"</t>
  </si>
  <si>
    <t>_________________</t>
  </si>
  <si>
    <t>(подпись, печать)            (расшифровка)</t>
  </si>
  <si>
    <t xml:space="preserve">_________________ </t>
  </si>
  <si>
    <t>ДТЭЦ</t>
  </si>
  <si>
    <t>ф.323</t>
  </si>
  <si>
    <t>ф.440</t>
  </si>
  <si>
    <t>ф.446</t>
  </si>
  <si>
    <t>ОП</t>
  </si>
  <si>
    <t>20 мин.</t>
  </si>
  <si>
    <t>ООО "Дом полимер"</t>
  </si>
  <si>
    <t>ТП-4</t>
  </si>
  <si>
    <t>ИП Шевченко А.Г.</t>
  </si>
  <si>
    <t>ТП-10/1</t>
  </si>
  <si>
    <t>ТП-11</t>
  </si>
  <si>
    <t>ТП-14</t>
  </si>
  <si>
    <t>ТП-16</t>
  </si>
  <si>
    <t>ТП-17</t>
  </si>
  <si>
    <t>ТП-20</t>
  </si>
  <si>
    <t>ТП-20/2</t>
  </si>
  <si>
    <t>ТП-21</t>
  </si>
  <si>
    <t>ТП-27</t>
  </si>
  <si>
    <t>ТП-30</t>
  </si>
  <si>
    <t>ТП-32</t>
  </si>
  <si>
    <t>ООО "Аврора"</t>
  </si>
  <si>
    <t>РП-5 яч.20</t>
  </si>
  <si>
    <t>ООО "ЭКОГАЗ"</t>
  </si>
  <si>
    <t>РП-6 яч.13</t>
  </si>
  <si>
    <t>РП-6 яч.14</t>
  </si>
  <si>
    <t>ООО "НПО "ЗЭРС"</t>
  </si>
  <si>
    <t>РП-4 яч.5</t>
  </si>
  <si>
    <t>РП-3 яч.13</t>
  </si>
  <si>
    <t>ООО "Феррум"</t>
  </si>
  <si>
    <t>ТП-22</t>
  </si>
  <si>
    <t>ООО "Р-ПРОФ"</t>
  </si>
  <si>
    <t>ТП-23</t>
  </si>
  <si>
    <t>ООО "Кондрата"</t>
  </si>
  <si>
    <t>ПАО "МТС"</t>
  </si>
  <si>
    <t>ГБУ РО "Консультативно-диагностический центр"</t>
  </si>
  <si>
    <t>ООО "Рязсельмаш"</t>
  </si>
  <si>
    <t>ООО "Импульс"</t>
  </si>
  <si>
    <t>ООО "ССКТ"</t>
  </si>
  <si>
    <t>ООО "Биоспектр" 044</t>
  </si>
  <si>
    <t>ООО "Биоспектр" 222</t>
  </si>
  <si>
    <t>ООО "Биоспектр" 307</t>
  </si>
  <si>
    <t>ООО "Форм Тек" 379</t>
  </si>
  <si>
    <t>ООО "Форм Тек" 952</t>
  </si>
  <si>
    <t>х</t>
  </si>
  <si>
    <t>ТП-15</t>
  </si>
  <si>
    <t>Долгов Д.В.</t>
  </si>
  <si>
    <t>ООО "Технополис 62"</t>
  </si>
  <si>
    <t>Костиков О.А.</t>
  </si>
  <si>
    <t>Жеребцов В.В.</t>
  </si>
  <si>
    <t>Богданова Н.В.</t>
  </si>
  <si>
    <t>Щеглов В.Б.</t>
  </si>
  <si>
    <t>ИП Шевченко А.Г.
ГБУ РО "Консультативно-диагностический центр"
Костиков О.А.
ООО "Кондрата"</t>
  </si>
  <si>
    <t>ф.452</t>
  </si>
  <si>
    <t>ф.303</t>
  </si>
  <si>
    <t>Ф.303</t>
  </si>
  <si>
    <t>Ф.446</t>
  </si>
  <si>
    <t>Ф.452</t>
  </si>
  <si>
    <t>Ф.440</t>
  </si>
  <si>
    <t>Ф.301</t>
  </si>
  <si>
    <t>АСКУЭ</t>
  </si>
  <si>
    <t>АБ</t>
  </si>
  <si>
    <t>ТБ</t>
  </si>
  <si>
    <t>Отопление</t>
  </si>
  <si>
    <t>АБ по Акту АТБ</t>
  </si>
  <si>
    <t>ф.301</t>
  </si>
  <si>
    <t xml:space="preserve">ООО "Дом полимер"
ИП Шевченко А.Г.
ООО "Импульс"
ООО "ЭКОГАЗ"
</t>
  </si>
  <si>
    <t>по ООО "Энергопром 21" на 2023-2024 годы</t>
  </si>
  <si>
    <t xml:space="preserve">ИП Шевченко А.Г.
ООО "Аврора"
ООО "Феррум"
Долгов Д.В.
ООО "Р-ПРОФ"
ООО "Технополис 62"
</t>
  </si>
  <si>
    <t>"______"_______________2023 г.</t>
  </si>
  <si>
    <t>ИП Билан А.А.</t>
  </si>
  <si>
    <t>ООО Феникс</t>
  </si>
  <si>
    <t>ООО Квалитет</t>
  </si>
  <si>
    <t>ООО РЗМШ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</si>
</sst>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vertAlign val="superscript"/>
      <sz val="12"/>
      <name val="Arial CYR"/>
      <family val="2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vertAlign val="superscript"/>
      <sz val="11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0"/>
    </font>
    <font>
      <b/>
      <vertAlign val="superscript"/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0"/>
      <color rgb="FFFF0000"/>
      <name val="Arial Cyr"/>
      <family val="0"/>
    </font>
    <font>
      <b/>
      <vertAlign val="superscript"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 diagonalUp="1" diagonalDown="1">
      <left style="medium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75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2" fillId="0" borderId="22" xfId="0" applyFont="1" applyFill="1" applyBorder="1" applyAlignment="1">
      <alignment textRotation="90" wrapText="1"/>
    </xf>
    <xf numFmtId="0" fontId="2" fillId="33" borderId="23" xfId="0" applyFont="1" applyFill="1" applyBorder="1" applyAlignment="1">
      <alignment textRotation="90" wrapText="1"/>
    </xf>
    <xf numFmtId="0" fontId="2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vertical="top" wrapText="1"/>
    </xf>
    <xf numFmtId="0" fontId="2" fillId="0" borderId="27" xfId="0" applyNumberFormat="1" applyFont="1" applyBorder="1" applyAlignment="1">
      <alignment horizontal="left" vertical="top" wrapText="1"/>
    </xf>
    <xf numFmtId="175" fontId="2" fillId="0" borderId="27" xfId="0" applyNumberFormat="1" applyFont="1" applyBorder="1" applyAlignment="1">
      <alignment horizontal="center" vertical="center"/>
    </xf>
    <xf numFmtId="175" fontId="2" fillId="0" borderId="29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left" vertical="top" wrapText="1"/>
    </xf>
    <xf numFmtId="175" fontId="2" fillId="0" borderId="31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175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vertical="top" wrapText="1"/>
    </xf>
    <xf numFmtId="175" fontId="2" fillId="0" borderId="34" xfId="0" applyNumberFormat="1" applyFont="1" applyBorder="1" applyAlignment="1">
      <alignment horizontal="center" vertical="center"/>
    </xf>
    <xf numFmtId="175" fontId="2" fillId="0" borderId="35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38" xfId="0" applyNumberFormat="1" applyFont="1" applyBorder="1" applyAlignment="1">
      <alignment vertical="top" wrapText="1"/>
    </xf>
    <xf numFmtId="0" fontId="2" fillId="0" borderId="38" xfId="0" applyNumberFormat="1" applyFont="1" applyBorder="1" applyAlignment="1">
      <alignment horizontal="left" vertical="top" wrapText="1"/>
    </xf>
    <xf numFmtId="175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left" vertical="top" wrapText="1"/>
    </xf>
    <xf numFmtId="175" fontId="2" fillId="0" borderId="41" xfId="0" applyNumberFormat="1" applyFont="1" applyBorder="1" applyAlignment="1">
      <alignment horizontal="center" vertical="center"/>
    </xf>
    <xf numFmtId="175" fontId="4" fillId="0" borderId="0" xfId="0" applyNumberFormat="1" applyFont="1" applyFill="1" applyBorder="1" applyAlignment="1">
      <alignment/>
    </xf>
    <xf numFmtId="175" fontId="2" fillId="0" borderId="4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5" fontId="2" fillId="0" borderId="38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34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5" fontId="2" fillId="0" borderId="27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/>
    </xf>
    <xf numFmtId="175" fontId="54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75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1" xfId="0" applyFont="1" applyBorder="1" applyAlignment="1">
      <alignment/>
    </xf>
    <xf numFmtId="174" fontId="55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horizontal="left" vertical="top" wrapText="1"/>
    </xf>
    <xf numFmtId="174" fontId="2" fillId="0" borderId="47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top" wrapText="1"/>
    </xf>
    <xf numFmtId="184" fontId="2" fillId="0" borderId="1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zoomScalePageLayoutView="0" workbookViewId="0" topLeftCell="A14">
      <selection activeCell="J14" sqref="J14:J15"/>
    </sheetView>
  </sheetViews>
  <sheetFormatPr defaultColWidth="9.00390625" defaultRowHeight="12.75" outlineLevelRow="2"/>
  <cols>
    <col min="1" max="1" width="8.375" style="7" customWidth="1"/>
    <col min="2" max="2" width="53.75390625" style="8" customWidth="1"/>
    <col min="3" max="3" width="16.125" style="6" customWidth="1"/>
    <col min="4" max="4" width="9.375" style="6" customWidth="1"/>
    <col min="5" max="5" width="14.25390625" style="6" customWidth="1"/>
    <col min="6" max="6" width="15.75390625" style="6" customWidth="1"/>
    <col min="7" max="7" width="16.75390625" style="6" customWidth="1"/>
    <col min="8" max="8" width="12.375" style="6" customWidth="1"/>
    <col min="9" max="9" width="13.875" style="6" customWidth="1"/>
    <col min="10" max="10" width="12.375" style="6" customWidth="1"/>
    <col min="11" max="12" width="8.25390625" style="6" customWidth="1"/>
    <col min="13" max="13" width="9.125" style="6" customWidth="1"/>
    <col min="14" max="16" width="8.25390625" style="6" customWidth="1"/>
    <col min="17" max="19" width="8.25390625" style="7" customWidth="1"/>
    <col min="20" max="20" width="8.25390625" style="6" customWidth="1"/>
    <col min="21" max="21" width="37.625" style="6" hidden="1" customWidth="1"/>
    <col min="22" max="22" width="9.125" style="6" customWidth="1"/>
    <col min="23" max="23" width="17.75390625" style="6" hidden="1" customWidth="1"/>
    <col min="24" max="24" width="9.125" style="6" customWidth="1"/>
    <col min="25" max="25" width="12.625" style="6" customWidth="1"/>
    <col min="26" max="16384" width="9.125" style="6" customWidth="1"/>
  </cols>
  <sheetData>
    <row r="1" spans="5:21" ht="19.5" customHeight="1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88"/>
      <c r="R1" s="88"/>
      <c r="S1" s="88"/>
      <c r="T1" s="36" t="s">
        <v>51</v>
      </c>
      <c r="U1" s="36"/>
    </row>
    <row r="2" spans="1:19" s="13" customFormat="1" ht="27.75" customHeight="1">
      <c r="A2" s="14" t="s">
        <v>19</v>
      </c>
      <c r="B2" s="15"/>
      <c r="J2" s="18"/>
      <c r="K2" s="18"/>
      <c r="Q2" s="14"/>
      <c r="R2" s="14"/>
      <c r="S2" s="14"/>
    </row>
    <row r="3" spans="1:19" s="24" customFormat="1" ht="27.75" customHeight="1">
      <c r="A3" s="25" t="s">
        <v>57</v>
      </c>
      <c r="B3" s="26"/>
      <c r="J3" s="27"/>
      <c r="K3" s="27"/>
      <c r="Q3" s="25"/>
      <c r="R3" s="25"/>
      <c r="S3" s="25"/>
    </row>
    <row r="4" spans="1:19" s="44" customFormat="1" ht="27.75" customHeight="1">
      <c r="A4" s="51" t="s">
        <v>48</v>
      </c>
      <c r="B4" s="52"/>
      <c r="C4" s="52"/>
      <c r="J4" s="45"/>
      <c r="K4" s="45"/>
      <c r="Q4" s="89"/>
      <c r="R4" s="89"/>
      <c r="S4" s="89"/>
    </row>
    <row r="5" spans="1:19" s="24" customFormat="1" ht="50.25" customHeight="1">
      <c r="A5" s="25" t="s">
        <v>58</v>
      </c>
      <c r="B5" s="26"/>
      <c r="J5" s="27"/>
      <c r="K5" s="27"/>
      <c r="N5" s="25"/>
      <c r="Q5" s="25"/>
      <c r="R5" s="25"/>
      <c r="S5" s="25"/>
    </row>
    <row r="6" spans="1:19" s="28" customFormat="1" ht="12" customHeight="1">
      <c r="A6" s="46" t="s">
        <v>61</v>
      </c>
      <c r="B6" s="54"/>
      <c r="N6" s="30"/>
      <c r="Q6" s="90"/>
      <c r="R6" s="90"/>
      <c r="S6" s="90"/>
    </row>
    <row r="7" spans="1:14" ht="19.5" customHeight="1">
      <c r="A7" s="7" t="s">
        <v>131</v>
      </c>
      <c r="G7" s="19"/>
      <c r="I7" s="19"/>
      <c r="J7" s="19"/>
      <c r="K7" s="19"/>
      <c r="L7" s="19"/>
      <c r="N7" s="7"/>
    </row>
    <row r="8" spans="11:21" ht="19.5" customHeight="1">
      <c r="K8" s="36"/>
      <c r="L8" s="36"/>
      <c r="M8" s="36"/>
      <c r="N8" s="36"/>
      <c r="O8" s="36"/>
      <c r="P8" s="36"/>
      <c r="Q8" s="88"/>
      <c r="R8" s="88"/>
      <c r="S8" s="88"/>
      <c r="T8" s="36"/>
      <c r="U8" s="36"/>
    </row>
    <row r="9" spans="2:21" s="2" customFormat="1" ht="20.25" customHeight="1">
      <c r="B9" s="16"/>
      <c r="C9" s="16"/>
      <c r="D9" s="16"/>
      <c r="E9" s="16"/>
      <c r="F9" s="16" t="s">
        <v>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91"/>
      <c r="R9" s="91"/>
      <c r="S9" s="91"/>
      <c r="T9" s="16"/>
      <c r="U9" s="16"/>
    </row>
    <row r="10" spans="2:21" ht="20.25" customHeight="1">
      <c r="B10" s="16"/>
      <c r="C10" s="16"/>
      <c r="D10" s="16"/>
      <c r="E10" s="16"/>
      <c r="F10" s="16" t="s">
        <v>56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91"/>
      <c r="R10" s="91"/>
      <c r="S10" s="91"/>
      <c r="T10" s="16"/>
      <c r="U10" s="16"/>
    </row>
    <row r="11" spans="2:21" ht="18" customHeight="1">
      <c r="B11" s="16"/>
      <c r="C11" s="16"/>
      <c r="D11" s="16"/>
      <c r="E11" s="16"/>
      <c r="F11" s="16" t="s">
        <v>129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1"/>
      <c r="R11" s="91"/>
      <c r="S11" s="91"/>
      <c r="T11" s="16"/>
      <c r="U11" s="16"/>
    </row>
    <row r="12" spans="2:21" ht="18" customHeight="1">
      <c r="B12" s="32"/>
      <c r="C12" s="32"/>
      <c r="D12" s="32"/>
      <c r="E12" s="32"/>
      <c r="F12" s="32" t="s">
        <v>25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92"/>
      <c r="R12" s="92"/>
      <c r="S12" s="92"/>
      <c r="T12" s="32"/>
      <c r="U12" s="16"/>
    </row>
    <row r="13" ht="15.75" customHeight="1" thickBot="1">
      <c r="B13" s="1"/>
    </row>
    <row r="14" spans="1:21" s="2" customFormat="1" ht="27.75" customHeight="1">
      <c r="A14" s="136" t="s">
        <v>5</v>
      </c>
      <c r="B14" s="138" t="s">
        <v>53</v>
      </c>
      <c r="C14" s="129" t="s">
        <v>22</v>
      </c>
      <c r="D14" s="129" t="s">
        <v>42</v>
      </c>
      <c r="E14" s="129" t="s">
        <v>43</v>
      </c>
      <c r="F14" s="129" t="s">
        <v>38</v>
      </c>
      <c r="G14" s="129" t="s">
        <v>39</v>
      </c>
      <c r="H14" s="129" t="s">
        <v>40</v>
      </c>
      <c r="I14" s="129" t="s">
        <v>41</v>
      </c>
      <c r="J14" s="131" t="s">
        <v>45</v>
      </c>
      <c r="K14" s="133" t="s">
        <v>49</v>
      </c>
      <c r="L14" s="134"/>
      <c r="M14" s="134"/>
      <c r="N14" s="134"/>
      <c r="O14" s="134"/>
      <c r="P14" s="134"/>
      <c r="Q14" s="134"/>
      <c r="R14" s="134"/>
      <c r="S14" s="134"/>
      <c r="T14" s="135"/>
      <c r="U14" s="56" t="s">
        <v>7</v>
      </c>
    </row>
    <row r="15" spans="1:21" s="2" customFormat="1" ht="87.75" customHeight="1" thickBot="1">
      <c r="A15" s="137"/>
      <c r="B15" s="139"/>
      <c r="C15" s="130"/>
      <c r="D15" s="130"/>
      <c r="E15" s="130"/>
      <c r="F15" s="130"/>
      <c r="G15" s="130"/>
      <c r="H15" s="130"/>
      <c r="I15" s="130"/>
      <c r="J15" s="132"/>
      <c r="K15" s="39" t="s">
        <v>28</v>
      </c>
      <c r="L15" s="35" t="s">
        <v>29</v>
      </c>
      <c r="M15" s="35" t="s">
        <v>30</v>
      </c>
      <c r="N15" s="40" t="s">
        <v>31</v>
      </c>
      <c r="O15" s="35" t="s">
        <v>32</v>
      </c>
      <c r="P15" s="35" t="s">
        <v>33</v>
      </c>
      <c r="Q15" s="93" t="s">
        <v>34</v>
      </c>
      <c r="R15" s="98" t="s">
        <v>35</v>
      </c>
      <c r="S15" s="98" t="s">
        <v>36</v>
      </c>
      <c r="T15" s="41" t="s">
        <v>37</v>
      </c>
      <c r="U15" s="57"/>
    </row>
    <row r="16" spans="1:21" s="10" customFormat="1" ht="18" customHeight="1" thickBot="1">
      <c r="A16" s="77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8">
        <v>7</v>
      </c>
      <c r="H16" s="78">
        <v>8</v>
      </c>
      <c r="I16" s="78">
        <v>9</v>
      </c>
      <c r="J16" s="78">
        <v>10</v>
      </c>
      <c r="K16" s="123">
        <v>11</v>
      </c>
      <c r="L16" s="78">
        <v>12</v>
      </c>
      <c r="M16" s="78">
        <v>13</v>
      </c>
      <c r="N16" s="78">
        <v>14</v>
      </c>
      <c r="O16" s="78">
        <v>15</v>
      </c>
      <c r="P16" s="78">
        <v>16</v>
      </c>
      <c r="Q16" s="78">
        <v>17</v>
      </c>
      <c r="R16" s="78">
        <v>18</v>
      </c>
      <c r="S16" s="78">
        <v>19</v>
      </c>
      <c r="T16" s="114">
        <v>20</v>
      </c>
      <c r="U16" s="42">
        <v>15</v>
      </c>
    </row>
    <row r="17" spans="1:24" s="3" customFormat="1" ht="19.5" customHeight="1" outlineLevel="2">
      <c r="A17" s="72">
        <v>1</v>
      </c>
      <c r="B17" s="126" t="s">
        <v>69</v>
      </c>
      <c r="C17" s="80" t="s">
        <v>63</v>
      </c>
      <c r="D17" s="81" t="s">
        <v>64</v>
      </c>
      <c r="E17" s="80" t="s">
        <v>70</v>
      </c>
      <c r="F17" s="94">
        <f>5.909-1+0.673</f>
        <v>5.582</v>
      </c>
      <c r="G17" s="82"/>
      <c r="H17" s="82"/>
      <c r="I17" s="82"/>
      <c r="J17" s="73">
        <f aca="true" t="shared" si="0" ref="J17:J61">F17-G17-H17-I17</f>
        <v>5.582</v>
      </c>
      <c r="K17" s="85"/>
      <c r="L17" s="82"/>
      <c r="M17" s="82"/>
      <c r="N17" s="82" t="s">
        <v>106</v>
      </c>
      <c r="O17" s="82" t="s">
        <v>106</v>
      </c>
      <c r="P17" s="82" t="s">
        <v>106</v>
      </c>
      <c r="Q17" s="94" t="s">
        <v>106</v>
      </c>
      <c r="R17" s="94" t="s">
        <v>106</v>
      </c>
      <c r="S17" s="94" t="s">
        <v>106</v>
      </c>
      <c r="T17" s="73" t="s">
        <v>106</v>
      </c>
      <c r="U17" s="83"/>
      <c r="W17" s="60">
        <f>J17/$J$62*100</f>
        <v>12.592243768875255</v>
      </c>
      <c r="X17" s="59"/>
    </row>
    <row r="18" spans="1:25" ht="19.5" customHeight="1" outlineLevel="2">
      <c r="A18" s="11">
        <v>2</v>
      </c>
      <c r="B18" s="124" t="s">
        <v>71</v>
      </c>
      <c r="C18" s="69" t="s">
        <v>63</v>
      </c>
      <c r="D18" s="70" t="s">
        <v>127</v>
      </c>
      <c r="E18" s="69" t="s">
        <v>72</v>
      </c>
      <c r="F18" s="95">
        <v>0</v>
      </c>
      <c r="G18" s="12"/>
      <c r="H18" s="12"/>
      <c r="I18" s="12"/>
      <c r="J18" s="37">
        <f t="shared" si="0"/>
        <v>0</v>
      </c>
      <c r="K18" s="71"/>
      <c r="L18" s="12"/>
      <c r="M18" s="12"/>
      <c r="N18" s="12"/>
      <c r="O18" s="12"/>
      <c r="P18" s="12"/>
      <c r="Q18" s="95"/>
      <c r="R18" s="95"/>
      <c r="S18" s="95"/>
      <c r="T18" s="37" t="s">
        <v>106</v>
      </c>
      <c r="U18" s="84"/>
      <c r="W18" s="59">
        <f>J18/$J$62*100</f>
        <v>0</v>
      </c>
      <c r="X18" s="3"/>
      <c r="Y18" s="3"/>
    </row>
    <row r="19" spans="1:25" ht="19.5" customHeight="1" outlineLevel="2">
      <c r="A19" s="11">
        <v>3</v>
      </c>
      <c r="B19" s="124" t="s">
        <v>71</v>
      </c>
      <c r="C19" s="69" t="s">
        <v>63</v>
      </c>
      <c r="D19" s="70" t="s">
        <v>127</v>
      </c>
      <c r="E19" s="69" t="s">
        <v>73</v>
      </c>
      <c r="F19" s="95">
        <f>1.928+0.014+0.64</f>
        <v>2.582</v>
      </c>
      <c r="G19" s="12">
        <f>0.327+0.327</f>
        <v>0.654</v>
      </c>
      <c r="H19" s="12"/>
      <c r="I19" s="12">
        <v>0.674</v>
      </c>
      <c r="J19" s="37">
        <f t="shared" si="0"/>
        <v>1.254</v>
      </c>
      <c r="K19" s="71"/>
      <c r="L19" s="12"/>
      <c r="M19" s="12"/>
      <c r="N19" s="12"/>
      <c r="O19" s="12" t="s">
        <v>106</v>
      </c>
      <c r="P19" s="12"/>
      <c r="Q19" s="95" t="s">
        <v>106</v>
      </c>
      <c r="R19" s="95" t="s">
        <v>106</v>
      </c>
      <c r="S19" s="95" t="s">
        <v>106</v>
      </c>
      <c r="T19" s="37" t="s">
        <v>106</v>
      </c>
      <c r="U19" s="62"/>
      <c r="W19" s="59">
        <f>J19/$J$62*100</f>
        <v>2.8288559093818653</v>
      </c>
      <c r="X19" s="3"/>
      <c r="Y19" s="3"/>
    </row>
    <row r="20" spans="1:25" ht="19.5" customHeight="1" outlineLevel="2">
      <c r="A20" s="11">
        <v>4</v>
      </c>
      <c r="B20" s="124" t="s">
        <v>71</v>
      </c>
      <c r="C20" s="69" t="s">
        <v>63</v>
      </c>
      <c r="D20" s="70" t="s">
        <v>127</v>
      </c>
      <c r="E20" s="69" t="s">
        <v>74</v>
      </c>
      <c r="F20" s="95">
        <f>0.76-0.007+0.005</f>
        <v>0.758</v>
      </c>
      <c r="G20" s="12">
        <v>0.327</v>
      </c>
      <c r="H20" s="12"/>
      <c r="I20" s="12">
        <v>0.427</v>
      </c>
      <c r="J20" s="37">
        <f t="shared" si="0"/>
        <v>0.0040000000000000036</v>
      </c>
      <c r="K20" s="71"/>
      <c r="L20" s="12"/>
      <c r="M20" s="12"/>
      <c r="N20" s="12"/>
      <c r="O20" s="12" t="s">
        <v>106</v>
      </c>
      <c r="P20" s="12" t="s">
        <v>106</v>
      </c>
      <c r="Q20" s="95" t="s">
        <v>106</v>
      </c>
      <c r="R20" s="95" t="s">
        <v>106</v>
      </c>
      <c r="S20" s="95" t="s">
        <v>106</v>
      </c>
      <c r="T20" s="37" t="s">
        <v>106</v>
      </c>
      <c r="U20" s="62"/>
      <c r="W20" s="60">
        <f>J20/$J$62*100</f>
        <v>0.009023463825779482</v>
      </c>
      <c r="X20" s="3"/>
      <c r="Y20" s="3"/>
    </row>
    <row r="21" spans="1:25" ht="19.5" customHeight="1" outlineLevel="2">
      <c r="A21" s="11">
        <v>5</v>
      </c>
      <c r="B21" s="124" t="s">
        <v>71</v>
      </c>
      <c r="C21" s="69" t="s">
        <v>63</v>
      </c>
      <c r="D21" s="70" t="s">
        <v>64</v>
      </c>
      <c r="E21" s="69" t="s">
        <v>107</v>
      </c>
      <c r="F21" s="95">
        <v>1.812</v>
      </c>
      <c r="G21" s="12"/>
      <c r="H21" s="12"/>
      <c r="I21" s="12"/>
      <c r="J21" s="37">
        <f t="shared" si="0"/>
        <v>1.812</v>
      </c>
      <c r="K21" s="71"/>
      <c r="L21" s="12"/>
      <c r="M21" s="12" t="s">
        <v>106</v>
      </c>
      <c r="N21" s="12"/>
      <c r="O21" s="12"/>
      <c r="P21" s="12" t="s">
        <v>106</v>
      </c>
      <c r="Q21" s="95" t="s">
        <v>106</v>
      </c>
      <c r="R21" s="95" t="s">
        <v>106</v>
      </c>
      <c r="S21" s="95"/>
      <c r="T21" s="37" t="s">
        <v>106</v>
      </c>
      <c r="U21" s="62"/>
      <c r="W21" s="60"/>
      <c r="X21" s="3"/>
      <c r="Y21" s="3"/>
    </row>
    <row r="22" spans="1:25" ht="19.5" customHeight="1" outlineLevel="2">
      <c r="A22" s="11">
        <v>6</v>
      </c>
      <c r="B22" s="124" t="s">
        <v>71</v>
      </c>
      <c r="C22" s="69" t="s">
        <v>63</v>
      </c>
      <c r="D22" s="70" t="s">
        <v>64</v>
      </c>
      <c r="E22" s="69" t="s">
        <v>75</v>
      </c>
      <c r="F22" s="95">
        <f>3.322</f>
        <v>3.322</v>
      </c>
      <c r="G22" s="12">
        <v>0.702</v>
      </c>
      <c r="H22" s="12"/>
      <c r="I22" s="12">
        <v>0.701</v>
      </c>
      <c r="J22" s="37">
        <f t="shared" si="0"/>
        <v>1.919</v>
      </c>
      <c r="K22" s="71" t="s">
        <v>106</v>
      </c>
      <c r="L22" s="12"/>
      <c r="M22" s="12"/>
      <c r="N22" s="12"/>
      <c r="O22" s="12"/>
      <c r="P22" s="12" t="s">
        <v>106</v>
      </c>
      <c r="Q22" s="95" t="s">
        <v>106</v>
      </c>
      <c r="R22" s="95" t="s">
        <v>106</v>
      </c>
      <c r="S22" s="95" t="s">
        <v>106</v>
      </c>
      <c r="T22" s="37" t="s">
        <v>106</v>
      </c>
      <c r="U22" s="62"/>
      <c r="W22" s="59">
        <f aca="true" t="shared" si="1" ref="W22:W61">J22/$J$62*100</f>
        <v>4.329006770417703</v>
      </c>
      <c r="X22" s="3"/>
      <c r="Y22" s="3"/>
    </row>
    <row r="23" spans="1:25" ht="19.5" customHeight="1" outlineLevel="2">
      <c r="A23" s="11">
        <v>7</v>
      </c>
      <c r="B23" s="124" t="s">
        <v>71</v>
      </c>
      <c r="C23" s="69" t="s">
        <v>63</v>
      </c>
      <c r="D23" s="70" t="s">
        <v>115</v>
      </c>
      <c r="E23" s="69" t="s">
        <v>76</v>
      </c>
      <c r="F23" s="95">
        <v>0.554</v>
      </c>
      <c r="G23" s="12">
        <v>0.22500000000000003</v>
      </c>
      <c r="H23" s="12"/>
      <c r="I23" s="12">
        <v>0.329</v>
      </c>
      <c r="J23" s="37">
        <f t="shared" si="0"/>
        <v>0</v>
      </c>
      <c r="K23" s="71"/>
      <c r="L23" s="12"/>
      <c r="M23" s="12"/>
      <c r="N23" s="12"/>
      <c r="O23" s="12"/>
      <c r="P23" s="12"/>
      <c r="Q23" s="95" t="s">
        <v>106</v>
      </c>
      <c r="R23" s="95" t="s">
        <v>106</v>
      </c>
      <c r="S23" s="95" t="s">
        <v>106</v>
      </c>
      <c r="T23" s="37" t="s">
        <v>106</v>
      </c>
      <c r="U23" s="62"/>
      <c r="W23" s="59">
        <f t="shared" si="1"/>
        <v>0</v>
      </c>
      <c r="X23" s="3"/>
      <c r="Y23" s="3"/>
    </row>
    <row r="24" spans="1:25" ht="19.5" customHeight="1" outlineLevel="2">
      <c r="A24" s="11">
        <v>8</v>
      </c>
      <c r="B24" s="124" t="s">
        <v>71</v>
      </c>
      <c r="C24" s="69" t="s">
        <v>63</v>
      </c>
      <c r="D24" s="70" t="s">
        <v>115</v>
      </c>
      <c r="E24" s="69" t="s">
        <v>77</v>
      </c>
      <c r="F24" s="95">
        <f>2.926-0.699</f>
        <v>2.2270000000000003</v>
      </c>
      <c r="G24" s="12">
        <v>0.467</v>
      </c>
      <c r="H24" s="12"/>
      <c r="I24" s="12">
        <v>0.366</v>
      </c>
      <c r="J24" s="37">
        <f t="shared" si="0"/>
        <v>1.3940000000000001</v>
      </c>
      <c r="K24" s="71"/>
      <c r="L24" s="12"/>
      <c r="M24" s="12"/>
      <c r="N24" s="12"/>
      <c r="O24" s="12"/>
      <c r="P24" s="12"/>
      <c r="Q24" s="95"/>
      <c r="R24" s="95" t="s">
        <v>106</v>
      </c>
      <c r="S24" s="95" t="s">
        <v>106</v>
      </c>
      <c r="T24" s="37" t="s">
        <v>106</v>
      </c>
      <c r="U24" s="62"/>
      <c r="W24" s="59">
        <f t="shared" si="1"/>
        <v>3.144677143284147</v>
      </c>
      <c r="X24" s="3"/>
      <c r="Y24" s="3"/>
    </row>
    <row r="25" spans="1:25" ht="19.5" customHeight="1" outlineLevel="2">
      <c r="A25" s="11">
        <v>9</v>
      </c>
      <c r="B25" s="124" t="s">
        <v>71</v>
      </c>
      <c r="C25" s="69" t="s">
        <v>63</v>
      </c>
      <c r="D25" s="70" t="s">
        <v>127</v>
      </c>
      <c r="E25" s="69" t="s">
        <v>78</v>
      </c>
      <c r="F25" s="95">
        <v>0</v>
      </c>
      <c r="G25" s="12"/>
      <c r="H25" s="12"/>
      <c r="I25" s="12"/>
      <c r="J25" s="37">
        <f t="shared" si="0"/>
        <v>0</v>
      </c>
      <c r="K25" s="71"/>
      <c r="L25" s="12"/>
      <c r="M25" s="12"/>
      <c r="N25" s="12"/>
      <c r="O25" s="12"/>
      <c r="P25" s="12"/>
      <c r="Q25" s="95"/>
      <c r="R25" s="95"/>
      <c r="S25" s="95"/>
      <c r="T25" s="37" t="s">
        <v>106</v>
      </c>
      <c r="U25" s="62"/>
      <c r="W25" s="59">
        <f t="shared" si="1"/>
        <v>0</v>
      </c>
      <c r="X25" s="3"/>
      <c r="Y25" s="3"/>
    </row>
    <row r="26" spans="1:25" ht="19.5" customHeight="1" outlineLevel="2">
      <c r="A26" s="11">
        <v>10</v>
      </c>
      <c r="B26" s="124" t="s">
        <v>71</v>
      </c>
      <c r="C26" s="69" t="s">
        <v>63</v>
      </c>
      <c r="D26" s="70" t="s">
        <v>65</v>
      </c>
      <c r="E26" s="69" t="s">
        <v>79</v>
      </c>
      <c r="F26" s="95">
        <f>4.254-1.967</f>
        <v>2.2869999999999995</v>
      </c>
      <c r="G26" s="12"/>
      <c r="H26" s="12"/>
      <c r="I26" s="12"/>
      <c r="J26" s="37">
        <f t="shared" si="0"/>
        <v>2.2869999999999995</v>
      </c>
      <c r="K26" s="71"/>
      <c r="L26" s="12"/>
      <c r="M26" s="12"/>
      <c r="N26" s="12"/>
      <c r="O26" s="12"/>
      <c r="P26" s="12"/>
      <c r="Q26" s="95"/>
      <c r="R26" s="95"/>
      <c r="S26" s="95" t="s">
        <v>106</v>
      </c>
      <c r="T26" s="37" t="s">
        <v>106</v>
      </c>
      <c r="U26" s="62"/>
      <c r="W26" s="59">
        <f t="shared" si="1"/>
        <v>5.159165442389414</v>
      </c>
      <c r="X26" s="3"/>
      <c r="Y26" s="3"/>
    </row>
    <row r="27" spans="1:25" ht="19.5" customHeight="1" outlineLevel="2">
      <c r="A27" s="11">
        <v>11</v>
      </c>
      <c r="B27" s="124" t="s">
        <v>71</v>
      </c>
      <c r="C27" s="69" t="s">
        <v>63</v>
      </c>
      <c r="D27" s="70" t="s">
        <v>65</v>
      </c>
      <c r="E27" s="69" t="s">
        <v>94</v>
      </c>
      <c r="F27" s="95">
        <f>1.379-0.3+0.14</f>
        <v>1.2189999999999999</v>
      </c>
      <c r="G27" s="12"/>
      <c r="H27" s="12"/>
      <c r="I27" s="12"/>
      <c r="J27" s="37">
        <f t="shared" si="0"/>
        <v>1.2189999999999999</v>
      </c>
      <c r="K27" s="71"/>
      <c r="L27" s="12"/>
      <c r="M27" s="12"/>
      <c r="N27" s="12"/>
      <c r="O27" s="12"/>
      <c r="P27" s="12"/>
      <c r="Q27" s="95"/>
      <c r="R27" s="95" t="s">
        <v>106</v>
      </c>
      <c r="S27" s="95"/>
      <c r="T27" s="37" t="s">
        <v>106</v>
      </c>
      <c r="U27" s="62"/>
      <c r="W27" s="59">
        <f t="shared" si="1"/>
        <v>2.7499006009062943</v>
      </c>
      <c r="X27" s="3"/>
      <c r="Y27" s="3"/>
    </row>
    <row r="28" spans="1:25" ht="19.5" customHeight="1" outlineLevel="2">
      <c r="A28" s="11">
        <v>12</v>
      </c>
      <c r="B28" s="124" t="s">
        <v>71</v>
      </c>
      <c r="C28" s="69" t="s">
        <v>63</v>
      </c>
      <c r="D28" s="70" t="s">
        <v>115</v>
      </c>
      <c r="E28" s="69" t="s">
        <v>80</v>
      </c>
      <c r="F28" s="95">
        <f>2.996-0.843</f>
        <v>2.153</v>
      </c>
      <c r="G28" s="12">
        <v>0.385</v>
      </c>
      <c r="H28" s="12"/>
      <c r="I28" s="12">
        <f>0.341+0.042</f>
        <v>0.383</v>
      </c>
      <c r="J28" s="37">
        <f t="shared" si="0"/>
        <v>1.385</v>
      </c>
      <c r="K28" s="71" t="s">
        <v>106</v>
      </c>
      <c r="L28" s="12"/>
      <c r="M28" s="12"/>
      <c r="N28" s="12"/>
      <c r="O28" s="12"/>
      <c r="P28" s="12"/>
      <c r="Q28" s="95"/>
      <c r="R28" s="95"/>
      <c r="S28" s="95" t="s">
        <v>106</v>
      </c>
      <c r="T28" s="37" t="s">
        <v>106</v>
      </c>
      <c r="U28" s="62"/>
      <c r="W28" s="59">
        <f t="shared" si="1"/>
        <v>3.124374349676143</v>
      </c>
      <c r="X28" s="3"/>
      <c r="Y28" s="3"/>
    </row>
    <row r="29" spans="1:25" ht="19.5" customHeight="1" outlineLevel="2">
      <c r="A29" s="11">
        <v>13</v>
      </c>
      <c r="B29" s="124" t="s">
        <v>71</v>
      </c>
      <c r="C29" s="69" t="s">
        <v>63</v>
      </c>
      <c r="D29" s="70" t="s">
        <v>65</v>
      </c>
      <c r="E29" s="69" t="s">
        <v>81</v>
      </c>
      <c r="F29" s="95">
        <f>1.202-0.326</f>
        <v>0.8759999999999999</v>
      </c>
      <c r="G29" s="12"/>
      <c r="H29" s="12"/>
      <c r="I29" s="12"/>
      <c r="J29" s="37">
        <f t="shared" si="0"/>
        <v>0.8759999999999999</v>
      </c>
      <c r="K29" s="71"/>
      <c r="L29" s="12"/>
      <c r="M29" s="12"/>
      <c r="N29" s="12"/>
      <c r="O29" s="12"/>
      <c r="P29" s="12"/>
      <c r="Q29" s="95"/>
      <c r="R29" s="95" t="s">
        <v>106</v>
      </c>
      <c r="S29" s="95" t="s">
        <v>106</v>
      </c>
      <c r="T29" s="37" t="s">
        <v>106</v>
      </c>
      <c r="U29" s="62"/>
      <c r="W29" s="59">
        <f t="shared" si="1"/>
        <v>1.9761385778457046</v>
      </c>
      <c r="X29" s="3"/>
      <c r="Y29" s="3"/>
    </row>
    <row r="30" spans="1:25" ht="19.5" customHeight="1" outlineLevel="2">
      <c r="A30" s="11">
        <v>14</v>
      </c>
      <c r="B30" s="124" t="s">
        <v>71</v>
      </c>
      <c r="C30" s="69" t="s">
        <v>63</v>
      </c>
      <c r="D30" s="70" t="s">
        <v>65</v>
      </c>
      <c r="E30" s="69" t="s">
        <v>82</v>
      </c>
      <c r="F30" s="95">
        <v>0.553</v>
      </c>
      <c r="G30" s="12"/>
      <c r="H30" s="12"/>
      <c r="I30" s="12"/>
      <c r="J30" s="37">
        <f t="shared" si="0"/>
        <v>0.553</v>
      </c>
      <c r="K30" s="71" t="s">
        <v>106</v>
      </c>
      <c r="L30" s="12"/>
      <c r="M30" s="12"/>
      <c r="N30" s="12"/>
      <c r="O30" s="12"/>
      <c r="P30" s="12"/>
      <c r="Q30" s="95" t="s">
        <v>106</v>
      </c>
      <c r="R30" s="95"/>
      <c r="S30" s="95" t="s">
        <v>106</v>
      </c>
      <c r="T30" s="37" t="s">
        <v>106</v>
      </c>
      <c r="U30" s="62"/>
      <c r="W30" s="59">
        <f t="shared" si="1"/>
        <v>1.2474938739140125</v>
      </c>
      <c r="X30" s="3"/>
      <c r="Y30" s="3"/>
    </row>
    <row r="31" spans="1:25" ht="18.75" customHeight="1" outlineLevel="2">
      <c r="A31" s="11">
        <v>15</v>
      </c>
      <c r="B31" s="124" t="s">
        <v>83</v>
      </c>
      <c r="C31" s="69" t="s">
        <v>63</v>
      </c>
      <c r="D31" s="70" t="s">
        <v>65</v>
      </c>
      <c r="E31" s="69" t="s">
        <v>84</v>
      </c>
      <c r="F31" s="95">
        <v>1.766</v>
      </c>
      <c r="G31" s="12"/>
      <c r="H31" s="12"/>
      <c r="I31" s="12"/>
      <c r="J31" s="37">
        <f t="shared" si="0"/>
        <v>1.766</v>
      </c>
      <c r="K31" s="71"/>
      <c r="L31" s="12"/>
      <c r="M31" s="12"/>
      <c r="N31" s="12"/>
      <c r="O31" s="12"/>
      <c r="P31" s="12" t="s">
        <v>106</v>
      </c>
      <c r="Q31" s="95" t="s">
        <v>106</v>
      </c>
      <c r="R31" s="95" t="s">
        <v>106</v>
      </c>
      <c r="S31" s="95" t="s">
        <v>106</v>
      </c>
      <c r="T31" s="37" t="s">
        <v>106</v>
      </c>
      <c r="U31" s="62"/>
      <c r="W31" s="59">
        <f t="shared" si="1"/>
        <v>3.9838592790816376</v>
      </c>
      <c r="X31" s="3"/>
      <c r="Y31" s="3"/>
    </row>
    <row r="32" spans="1:25" ht="18.75" customHeight="1" outlineLevel="2">
      <c r="A32" s="11">
        <v>16</v>
      </c>
      <c r="B32" s="124" t="s">
        <v>85</v>
      </c>
      <c r="C32" s="69" t="s">
        <v>63</v>
      </c>
      <c r="D32" s="70" t="s">
        <v>64</v>
      </c>
      <c r="E32" s="69" t="s">
        <v>86</v>
      </c>
      <c r="F32" s="95">
        <v>2.629</v>
      </c>
      <c r="G32" s="12"/>
      <c r="H32" s="12"/>
      <c r="I32" s="12"/>
      <c r="J32" s="37">
        <f t="shared" si="0"/>
        <v>2.629</v>
      </c>
      <c r="K32" s="71"/>
      <c r="L32" s="12"/>
      <c r="M32" s="12"/>
      <c r="N32" s="12"/>
      <c r="O32" s="12" t="s">
        <v>106</v>
      </c>
      <c r="P32" s="12" t="s">
        <v>106</v>
      </c>
      <c r="Q32" s="95" t="s">
        <v>106</v>
      </c>
      <c r="R32" s="95" t="s">
        <v>106</v>
      </c>
      <c r="S32" s="95" t="s">
        <v>106</v>
      </c>
      <c r="T32" s="37" t="s">
        <v>106</v>
      </c>
      <c r="U32" s="62"/>
      <c r="W32" s="59">
        <f t="shared" si="1"/>
        <v>5.93067159949356</v>
      </c>
      <c r="X32" s="3"/>
      <c r="Y32" s="3"/>
    </row>
    <row r="33" spans="1:25" ht="19.5" customHeight="1" outlineLevel="2">
      <c r="A33" s="11">
        <v>17</v>
      </c>
      <c r="B33" s="124" t="s">
        <v>85</v>
      </c>
      <c r="C33" s="69" t="s">
        <v>63</v>
      </c>
      <c r="D33" s="70" t="s">
        <v>64</v>
      </c>
      <c r="E33" s="69" t="s">
        <v>87</v>
      </c>
      <c r="F33" s="95">
        <v>0.961</v>
      </c>
      <c r="G33" s="12"/>
      <c r="H33" s="12"/>
      <c r="I33" s="12"/>
      <c r="J33" s="37">
        <f t="shared" si="0"/>
        <v>0.961</v>
      </c>
      <c r="K33" s="71"/>
      <c r="L33" s="12"/>
      <c r="M33" s="12"/>
      <c r="N33" s="12"/>
      <c r="O33" s="12"/>
      <c r="P33" s="12"/>
      <c r="Q33" s="95"/>
      <c r="R33" s="95"/>
      <c r="S33" s="95" t="s">
        <v>106</v>
      </c>
      <c r="T33" s="37" t="s">
        <v>106</v>
      </c>
      <c r="U33" s="62"/>
      <c r="W33" s="59">
        <f t="shared" si="1"/>
        <v>2.1678871841435186</v>
      </c>
      <c r="X33" s="3"/>
      <c r="Y33" s="3"/>
    </row>
    <row r="34" spans="1:25" ht="19.5" customHeight="1" outlineLevel="2">
      <c r="A34" s="11">
        <v>18</v>
      </c>
      <c r="B34" s="124" t="s">
        <v>88</v>
      </c>
      <c r="C34" s="69" t="s">
        <v>63</v>
      </c>
      <c r="D34" s="70" t="s">
        <v>116</v>
      </c>
      <c r="E34" s="69" t="s">
        <v>89</v>
      </c>
      <c r="F34" s="95">
        <f>8.582</f>
        <v>8.582</v>
      </c>
      <c r="G34" s="12"/>
      <c r="H34" s="12"/>
      <c r="I34" s="12"/>
      <c r="J34" s="37">
        <f t="shared" si="0"/>
        <v>8.582</v>
      </c>
      <c r="K34" s="71"/>
      <c r="L34" s="12" t="s">
        <v>106</v>
      </c>
      <c r="M34" s="12" t="s">
        <v>106</v>
      </c>
      <c r="N34" s="12" t="s">
        <v>106</v>
      </c>
      <c r="O34" s="12" t="s">
        <v>106</v>
      </c>
      <c r="P34" s="12" t="s">
        <v>106</v>
      </c>
      <c r="Q34" s="95" t="s">
        <v>106</v>
      </c>
      <c r="R34" s="95" t="s">
        <v>106</v>
      </c>
      <c r="S34" s="95" t="s">
        <v>106</v>
      </c>
      <c r="T34" s="37" t="s">
        <v>106</v>
      </c>
      <c r="U34" s="62"/>
      <c r="W34" s="59">
        <f t="shared" si="1"/>
        <v>19.35984163820986</v>
      </c>
      <c r="X34" s="3"/>
      <c r="Y34" s="3"/>
    </row>
    <row r="35" spans="1:25" ht="19.5" customHeight="1" outlineLevel="2">
      <c r="A35" s="11">
        <v>19</v>
      </c>
      <c r="B35" s="124" t="s">
        <v>88</v>
      </c>
      <c r="C35" s="69" t="s">
        <v>63</v>
      </c>
      <c r="D35" s="70" t="s">
        <v>115</v>
      </c>
      <c r="E35" s="69" t="s">
        <v>90</v>
      </c>
      <c r="F35" s="95">
        <f>1.43</f>
        <v>1.43</v>
      </c>
      <c r="G35" s="12"/>
      <c r="H35" s="12"/>
      <c r="I35" s="12"/>
      <c r="J35" s="37">
        <f t="shared" si="0"/>
        <v>1.43</v>
      </c>
      <c r="K35" s="71"/>
      <c r="L35" s="12"/>
      <c r="M35" s="12"/>
      <c r="N35" s="12" t="s">
        <v>106</v>
      </c>
      <c r="O35" s="12" t="s">
        <v>106</v>
      </c>
      <c r="P35" s="12" t="s">
        <v>106</v>
      </c>
      <c r="Q35" s="95" t="s">
        <v>106</v>
      </c>
      <c r="R35" s="95" t="s">
        <v>106</v>
      </c>
      <c r="S35" s="95" t="s">
        <v>106</v>
      </c>
      <c r="T35" s="37" t="s">
        <v>106</v>
      </c>
      <c r="U35" s="62"/>
      <c r="W35" s="59">
        <f t="shared" si="1"/>
        <v>3.225888317716162</v>
      </c>
      <c r="X35" s="3"/>
      <c r="Y35" s="3"/>
    </row>
    <row r="36" spans="1:25" ht="19.5" customHeight="1" outlineLevel="2">
      <c r="A36" s="11">
        <v>20</v>
      </c>
      <c r="B36" s="124" t="s">
        <v>91</v>
      </c>
      <c r="C36" s="69" t="s">
        <v>63</v>
      </c>
      <c r="D36" s="70" t="s">
        <v>65</v>
      </c>
      <c r="E36" s="69" t="s">
        <v>92</v>
      </c>
      <c r="F36" s="95">
        <f>4.267-2</f>
        <v>2.2670000000000003</v>
      </c>
      <c r="G36" s="12"/>
      <c r="H36" s="12"/>
      <c r="I36" s="12"/>
      <c r="J36" s="37">
        <f t="shared" si="0"/>
        <v>2.2670000000000003</v>
      </c>
      <c r="K36" s="71"/>
      <c r="L36" s="12"/>
      <c r="M36" s="12"/>
      <c r="N36" s="12"/>
      <c r="O36" s="12"/>
      <c r="P36" s="12" t="s">
        <v>106</v>
      </c>
      <c r="Q36" s="95" t="s">
        <v>106</v>
      </c>
      <c r="R36" s="95" t="s">
        <v>106</v>
      </c>
      <c r="S36" s="95" t="s">
        <v>106</v>
      </c>
      <c r="T36" s="37" t="s">
        <v>106</v>
      </c>
      <c r="U36" s="62"/>
      <c r="W36" s="59">
        <f t="shared" si="1"/>
        <v>5.114048123260518</v>
      </c>
      <c r="X36" s="3"/>
      <c r="Y36" s="3"/>
    </row>
    <row r="37" spans="1:25" ht="19.5" customHeight="1" outlineLevel="2">
      <c r="A37" s="11">
        <v>21</v>
      </c>
      <c r="B37" s="124" t="s">
        <v>93</v>
      </c>
      <c r="C37" s="69" t="s">
        <v>63</v>
      </c>
      <c r="D37" s="70" t="s">
        <v>65</v>
      </c>
      <c r="E37" s="69" t="s">
        <v>94</v>
      </c>
      <c r="F37" s="95">
        <v>0.086</v>
      </c>
      <c r="G37" s="12"/>
      <c r="H37" s="12"/>
      <c r="I37" s="12"/>
      <c r="J37" s="37">
        <f t="shared" si="0"/>
        <v>0.086</v>
      </c>
      <c r="K37" s="71"/>
      <c r="L37" s="12"/>
      <c r="M37" s="12"/>
      <c r="N37" s="12"/>
      <c r="O37" s="12"/>
      <c r="P37" s="12"/>
      <c r="Q37" s="95"/>
      <c r="R37" s="95"/>
      <c r="S37" s="95"/>
      <c r="T37" s="37" t="s">
        <v>106</v>
      </c>
      <c r="U37" s="62"/>
      <c r="W37" s="59">
        <f t="shared" si="1"/>
        <v>0.19400447225425868</v>
      </c>
      <c r="X37" s="3"/>
      <c r="Y37" s="3"/>
    </row>
    <row r="38" spans="1:25" ht="19.5" customHeight="1" outlineLevel="2">
      <c r="A38" s="11">
        <v>22</v>
      </c>
      <c r="B38" s="124" t="s">
        <v>95</v>
      </c>
      <c r="C38" s="69" t="s">
        <v>63</v>
      </c>
      <c r="D38" s="70" t="s">
        <v>127</v>
      </c>
      <c r="E38" s="69" t="s">
        <v>73</v>
      </c>
      <c r="F38" s="95">
        <v>0.001</v>
      </c>
      <c r="G38" s="12"/>
      <c r="H38" s="12"/>
      <c r="I38" s="12"/>
      <c r="J38" s="37">
        <f t="shared" si="0"/>
        <v>0.001</v>
      </c>
      <c r="K38" s="71"/>
      <c r="L38" s="12"/>
      <c r="M38" s="12"/>
      <c r="N38" s="12"/>
      <c r="O38" s="12"/>
      <c r="P38" s="12"/>
      <c r="Q38" s="95"/>
      <c r="R38" s="95"/>
      <c r="S38" s="95"/>
      <c r="T38" s="37" t="s">
        <v>106</v>
      </c>
      <c r="U38" s="62"/>
      <c r="W38" s="59">
        <f t="shared" si="1"/>
        <v>0.0022558659564448687</v>
      </c>
      <c r="X38" s="3"/>
      <c r="Y38" s="3"/>
    </row>
    <row r="39" spans="1:25" ht="19.5" customHeight="1" outlineLevel="2">
      <c r="A39" s="11">
        <v>23</v>
      </c>
      <c r="B39" s="124" t="s">
        <v>96</v>
      </c>
      <c r="C39" s="69" t="s">
        <v>63</v>
      </c>
      <c r="D39" s="70" t="s">
        <v>115</v>
      </c>
      <c r="E39" s="69" t="s">
        <v>77</v>
      </c>
      <c r="F39" s="95">
        <v>0.115</v>
      </c>
      <c r="G39" s="125">
        <f>0.0000625*2</f>
        <v>0.000125</v>
      </c>
      <c r="H39" s="12"/>
      <c r="I39" s="12"/>
      <c r="J39" s="37">
        <f t="shared" si="0"/>
        <v>0.114875</v>
      </c>
      <c r="K39" s="71"/>
      <c r="L39" s="12"/>
      <c r="M39" s="12"/>
      <c r="N39" s="12"/>
      <c r="O39" s="12"/>
      <c r="P39" s="12" t="s">
        <v>106</v>
      </c>
      <c r="Q39" s="95" t="s">
        <v>106</v>
      </c>
      <c r="R39" s="95"/>
      <c r="S39" s="95" t="s">
        <v>106</v>
      </c>
      <c r="T39" s="37" t="s">
        <v>106</v>
      </c>
      <c r="U39" s="62"/>
      <c r="W39" s="59">
        <f t="shared" si="1"/>
        <v>0.2591426017466043</v>
      </c>
      <c r="X39" s="3"/>
      <c r="Y39" s="3"/>
    </row>
    <row r="40" spans="1:25" ht="19.5" customHeight="1" outlineLevel="2">
      <c r="A40" s="11">
        <v>24</v>
      </c>
      <c r="B40" s="124" t="s">
        <v>96</v>
      </c>
      <c r="C40" s="69" t="s">
        <v>63</v>
      </c>
      <c r="D40" s="70" t="s">
        <v>115</v>
      </c>
      <c r="E40" s="69" t="s">
        <v>77</v>
      </c>
      <c r="F40" s="95">
        <v>0</v>
      </c>
      <c r="G40" s="125"/>
      <c r="H40" s="12"/>
      <c r="I40" s="12"/>
      <c r="J40" s="37">
        <f t="shared" si="0"/>
        <v>0</v>
      </c>
      <c r="K40" s="71"/>
      <c r="L40" s="12"/>
      <c r="M40" s="12"/>
      <c r="N40" s="12"/>
      <c r="O40" s="12"/>
      <c r="P40" s="12"/>
      <c r="Q40" s="95"/>
      <c r="R40" s="95"/>
      <c r="S40" s="95"/>
      <c r="T40" s="37" t="s">
        <v>106</v>
      </c>
      <c r="U40" s="62"/>
      <c r="W40" s="59">
        <f t="shared" si="1"/>
        <v>0</v>
      </c>
      <c r="X40" s="3"/>
      <c r="Y40" s="3"/>
    </row>
    <row r="41" spans="1:25" ht="19.5" customHeight="1" outlineLevel="2">
      <c r="A41" s="11">
        <v>25</v>
      </c>
      <c r="B41" s="124" t="s">
        <v>97</v>
      </c>
      <c r="C41" s="69" t="s">
        <v>63</v>
      </c>
      <c r="D41" s="70" t="s">
        <v>127</v>
      </c>
      <c r="E41" s="69" t="s">
        <v>73</v>
      </c>
      <c r="F41" s="95">
        <v>0.307</v>
      </c>
      <c r="G41" s="12"/>
      <c r="H41" s="12"/>
      <c r="I41" s="12"/>
      <c r="J41" s="37">
        <f t="shared" si="0"/>
        <v>0.307</v>
      </c>
      <c r="K41" s="71"/>
      <c r="L41" s="12"/>
      <c r="M41" s="12"/>
      <c r="N41" s="12"/>
      <c r="O41" s="12"/>
      <c r="P41" s="12"/>
      <c r="Q41" s="95"/>
      <c r="R41" s="95" t="s">
        <v>106</v>
      </c>
      <c r="S41" s="95"/>
      <c r="T41" s="37" t="s">
        <v>106</v>
      </c>
      <c r="U41" s="62"/>
      <c r="W41" s="59">
        <f t="shared" si="1"/>
        <v>0.6925508486285746</v>
      </c>
      <c r="X41" s="3"/>
      <c r="Y41" s="3"/>
    </row>
    <row r="42" spans="1:25" ht="19.5" customHeight="1" outlineLevel="2">
      <c r="A42" s="11">
        <v>26</v>
      </c>
      <c r="B42" s="124" t="s">
        <v>97</v>
      </c>
      <c r="C42" s="69" t="s">
        <v>63</v>
      </c>
      <c r="D42" s="70" t="s">
        <v>127</v>
      </c>
      <c r="E42" s="69" t="s">
        <v>73</v>
      </c>
      <c r="F42" s="95">
        <v>0.049</v>
      </c>
      <c r="G42" s="12"/>
      <c r="H42" s="12"/>
      <c r="I42" s="12"/>
      <c r="J42" s="37">
        <f t="shared" si="0"/>
        <v>0.049</v>
      </c>
      <c r="K42" s="71"/>
      <c r="L42" s="12"/>
      <c r="M42" s="12"/>
      <c r="N42" s="12"/>
      <c r="O42" s="12"/>
      <c r="P42" s="12"/>
      <c r="Q42" s="95" t="s">
        <v>106</v>
      </c>
      <c r="R42" s="95"/>
      <c r="S42" s="95"/>
      <c r="T42" s="37" t="s">
        <v>106</v>
      </c>
      <c r="U42" s="62"/>
      <c r="W42" s="59">
        <f t="shared" si="1"/>
        <v>0.11053743186579858</v>
      </c>
      <c r="X42" s="3"/>
      <c r="Y42" s="3"/>
    </row>
    <row r="43" spans="1:25" ht="19.5" customHeight="1" outlineLevel="2">
      <c r="A43" s="11">
        <v>27</v>
      </c>
      <c r="B43" s="124" t="s">
        <v>101</v>
      </c>
      <c r="C43" s="69" t="s">
        <v>63</v>
      </c>
      <c r="D43" s="70" t="s">
        <v>115</v>
      </c>
      <c r="E43" s="69" t="s">
        <v>77</v>
      </c>
      <c r="F43" s="95">
        <f>1.396-0.1</f>
        <v>1.2959999999999998</v>
      </c>
      <c r="G43" s="12"/>
      <c r="H43" s="12"/>
      <c r="I43" s="12"/>
      <c r="J43" s="37">
        <f t="shared" si="0"/>
        <v>1.2959999999999998</v>
      </c>
      <c r="K43" s="71"/>
      <c r="L43" s="12"/>
      <c r="M43" s="12"/>
      <c r="N43" s="12" t="s">
        <v>106</v>
      </c>
      <c r="O43" s="12" t="s">
        <v>106</v>
      </c>
      <c r="P43" s="12"/>
      <c r="Q43" s="95" t="s">
        <v>106</v>
      </c>
      <c r="R43" s="95" t="s">
        <v>106</v>
      </c>
      <c r="S43" s="95" t="s">
        <v>106</v>
      </c>
      <c r="T43" s="37" t="s">
        <v>106</v>
      </c>
      <c r="U43" s="62"/>
      <c r="W43" s="59">
        <f t="shared" si="1"/>
        <v>2.9236022795525494</v>
      </c>
      <c r="X43" s="3"/>
      <c r="Y43" s="3"/>
    </row>
    <row r="44" spans="1:25" ht="19.5" customHeight="1" outlineLevel="2">
      <c r="A44" s="11">
        <v>28</v>
      </c>
      <c r="B44" s="124" t="s">
        <v>102</v>
      </c>
      <c r="C44" s="69" t="s">
        <v>63</v>
      </c>
      <c r="D44" s="70" t="s">
        <v>115</v>
      </c>
      <c r="E44" s="69" t="s">
        <v>77</v>
      </c>
      <c r="F44" s="95">
        <f>1.937-0.367</f>
        <v>1.57</v>
      </c>
      <c r="G44" s="12"/>
      <c r="H44" s="12"/>
      <c r="I44" s="12"/>
      <c r="J44" s="37">
        <f t="shared" si="0"/>
        <v>1.57</v>
      </c>
      <c r="K44" s="71"/>
      <c r="L44" s="12"/>
      <c r="M44" s="12"/>
      <c r="N44" s="12"/>
      <c r="O44" s="12" t="s">
        <v>106</v>
      </c>
      <c r="P44" s="12"/>
      <c r="Q44" s="95"/>
      <c r="R44" s="95" t="s">
        <v>106</v>
      </c>
      <c r="S44" s="95" t="s">
        <v>106</v>
      </c>
      <c r="T44" s="37" t="s">
        <v>106</v>
      </c>
      <c r="U44" s="62"/>
      <c r="W44" s="59">
        <f t="shared" si="1"/>
        <v>3.541709551618444</v>
      </c>
      <c r="X44" s="3"/>
      <c r="Y44" s="3"/>
    </row>
    <row r="45" spans="1:25" ht="19.5" customHeight="1" outlineLevel="2">
      <c r="A45" s="11">
        <v>29</v>
      </c>
      <c r="B45" s="124" t="s">
        <v>103</v>
      </c>
      <c r="C45" s="69" t="s">
        <v>63</v>
      </c>
      <c r="D45" s="70" t="s">
        <v>115</v>
      </c>
      <c r="E45" s="69" t="s">
        <v>77</v>
      </c>
      <c r="F45" s="95">
        <f>0.421-0.1</f>
        <v>0.32099999999999995</v>
      </c>
      <c r="G45" s="12"/>
      <c r="H45" s="12"/>
      <c r="I45" s="12"/>
      <c r="J45" s="37">
        <f t="shared" si="0"/>
        <v>0.32099999999999995</v>
      </c>
      <c r="K45" s="71"/>
      <c r="L45" s="12"/>
      <c r="M45" s="12" t="s">
        <v>106</v>
      </c>
      <c r="N45" s="12"/>
      <c r="O45" s="12"/>
      <c r="P45" s="12"/>
      <c r="Q45" s="95" t="s">
        <v>106</v>
      </c>
      <c r="R45" s="95" t="s">
        <v>106</v>
      </c>
      <c r="S45" s="95" t="s">
        <v>106</v>
      </c>
      <c r="T45" s="37" t="s">
        <v>106</v>
      </c>
      <c r="U45" s="62"/>
      <c r="W45" s="59">
        <f t="shared" si="1"/>
        <v>0.7241329720188027</v>
      </c>
      <c r="X45" s="3"/>
      <c r="Y45" s="3"/>
    </row>
    <row r="46" spans="1:25" ht="19.5" customHeight="1" outlineLevel="2">
      <c r="A46" s="11">
        <v>30</v>
      </c>
      <c r="B46" s="124" t="s">
        <v>98</v>
      </c>
      <c r="C46" s="69" t="s">
        <v>63</v>
      </c>
      <c r="D46" s="70" t="s">
        <v>115</v>
      </c>
      <c r="E46" s="69" t="s">
        <v>80</v>
      </c>
      <c r="F46" s="95">
        <f>1.179-0.866</f>
        <v>0.31300000000000006</v>
      </c>
      <c r="G46" s="12"/>
      <c r="H46" s="12"/>
      <c r="I46" s="12"/>
      <c r="J46" s="37">
        <f t="shared" si="0"/>
        <v>0.31300000000000006</v>
      </c>
      <c r="K46" s="71"/>
      <c r="L46" s="12" t="s">
        <v>106</v>
      </c>
      <c r="M46" s="12" t="s">
        <v>106</v>
      </c>
      <c r="N46" s="12"/>
      <c r="O46" s="12"/>
      <c r="P46" s="12"/>
      <c r="Q46" s="95" t="s">
        <v>106</v>
      </c>
      <c r="R46" s="95" t="s">
        <v>106</v>
      </c>
      <c r="S46" s="95" t="s">
        <v>106</v>
      </c>
      <c r="T46" s="37" t="s">
        <v>106</v>
      </c>
      <c r="U46" s="62"/>
      <c r="W46" s="59">
        <f t="shared" si="1"/>
        <v>0.706086044367244</v>
      </c>
      <c r="X46" s="3"/>
      <c r="Y46" s="3"/>
    </row>
    <row r="47" spans="1:25" ht="19.5" customHeight="1" outlineLevel="2">
      <c r="A47" s="11">
        <v>31</v>
      </c>
      <c r="B47" s="124" t="s">
        <v>104</v>
      </c>
      <c r="C47" s="69" t="s">
        <v>63</v>
      </c>
      <c r="D47" s="70" t="s">
        <v>115</v>
      </c>
      <c r="E47" s="69" t="s">
        <v>76</v>
      </c>
      <c r="F47" s="95">
        <v>0.004</v>
      </c>
      <c r="G47" s="12"/>
      <c r="H47" s="12"/>
      <c r="I47" s="12"/>
      <c r="J47" s="37">
        <f t="shared" si="0"/>
        <v>0.004</v>
      </c>
      <c r="K47" s="71"/>
      <c r="L47" s="12"/>
      <c r="M47" s="12"/>
      <c r="N47" s="12"/>
      <c r="O47" s="12"/>
      <c r="P47" s="12"/>
      <c r="Q47" s="95"/>
      <c r="R47" s="95"/>
      <c r="S47" s="95"/>
      <c r="T47" s="37" t="s">
        <v>106</v>
      </c>
      <c r="U47" s="62"/>
      <c r="W47" s="59">
        <f t="shared" si="1"/>
        <v>0.009023463825779475</v>
      </c>
      <c r="X47" s="3"/>
      <c r="Y47" s="3"/>
    </row>
    <row r="48" spans="1:25" ht="19.5" customHeight="1" outlineLevel="2">
      <c r="A48" s="11">
        <v>32</v>
      </c>
      <c r="B48" s="124" t="s">
        <v>105</v>
      </c>
      <c r="C48" s="69" t="s">
        <v>63</v>
      </c>
      <c r="D48" s="70" t="s">
        <v>115</v>
      </c>
      <c r="E48" s="69" t="s">
        <v>76</v>
      </c>
      <c r="F48" s="95">
        <v>0.017</v>
      </c>
      <c r="G48" s="12"/>
      <c r="H48" s="12"/>
      <c r="I48" s="12"/>
      <c r="J48" s="37">
        <f t="shared" si="0"/>
        <v>0.017</v>
      </c>
      <c r="K48" s="71"/>
      <c r="L48" s="12"/>
      <c r="M48" s="12"/>
      <c r="N48" s="12"/>
      <c r="O48" s="12"/>
      <c r="P48" s="12"/>
      <c r="Q48" s="95"/>
      <c r="R48" s="95"/>
      <c r="S48" s="95"/>
      <c r="T48" s="37" t="s">
        <v>106</v>
      </c>
      <c r="U48" s="62"/>
      <c r="W48" s="59">
        <f t="shared" si="1"/>
        <v>0.03834972125956277</v>
      </c>
      <c r="X48" s="3"/>
      <c r="Y48" s="3"/>
    </row>
    <row r="49" spans="1:25" ht="19.5" customHeight="1" outlineLevel="2">
      <c r="A49" s="11">
        <v>33</v>
      </c>
      <c r="B49" s="124" t="s">
        <v>99</v>
      </c>
      <c r="C49" s="69" t="s">
        <v>63</v>
      </c>
      <c r="D49" s="70" t="s">
        <v>64</v>
      </c>
      <c r="E49" s="69" t="s">
        <v>75</v>
      </c>
      <c r="F49" s="95">
        <v>1.124</v>
      </c>
      <c r="G49" s="12"/>
      <c r="H49" s="12"/>
      <c r="I49" s="12"/>
      <c r="J49" s="37">
        <f t="shared" si="0"/>
        <v>1.124</v>
      </c>
      <c r="K49" s="71"/>
      <c r="L49" s="12"/>
      <c r="M49" s="12"/>
      <c r="N49" s="12"/>
      <c r="O49" s="12"/>
      <c r="P49" s="12"/>
      <c r="Q49" s="95"/>
      <c r="R49" s="95"/>
      <c r="S49" s="95" t="s">
        <v>106</v>
      </c>
      <c r="T49" s="37" t="s">
        <v>106</v>
      </c>
      <c r="U49" s="62"/>
      <c r="W49" s="59">
        <f t="shared" si="1"/>
        <v>2.5355933350440325</v>
      </c>
      <c r="X49" s="3"/>
      <c r="Y49" s="3"/>
    </row>
    <row r="50" spans="1:25" ht="19.5" customHeight="1" outlineLevel="2">
      <c r="A50" s="11">
        <v>34</v>
      </c>
      <c r="B50" s="124" t="s">
        <v>99</v>
      </c>
      <c r="C50" s="69" t="s">
        <v>63</v>
      </c>
      <c r="D50" s="70" t="s">
        <v>64</v>
      </c>
      <c r="E50" s="69" t="s">
        <v>75</v>
      </c>
      <c r="F50" s="95">
        <v>0.367</v>
      </c>
      <c r="G50" s="12"/>
      <c r="H50" s="12"/>
      <c r="I50" s="12"/>
      <c r="J50" s="37">
        <f t="shared" si="0"/>
        <v>0.367</v>
      </c>
      <c r="K50" s="71"/>
      <c r="L50" s="12"/>
      <c r="M50" s="12" t="s">
        <v>106</v>
      </c>
      <c r="N50" s="12"/>
      <c r="O50" s="12"/>
      <c r="P50" s="12"/>
      <c r="Q50" s="95" t="s">
        <v>106</v>
      </c>
      <c r="R50" s="95" t="s">
        <v>106</v>
      </c>
      <c r="S50" s="95"/>
      <c r="T50" s="37" t="s">
        <v>106</v>
      </c>
      <c r="U50" s="62"/>
      <c r="W50" s="59">
        <f t="shared" si="1"/>
        <v>0.8279028060152669</v>
      </c>
      <c r="X50" s="3"/>
      <c r="Y50" s="3"/>
    </row>
    <row r="51" spans="1:25" ht="19.5" customHeight="1" outlineLevel="2">
      <c r="A51" s="11">
        <v>35</v>
      </c>
      <c r="B51" s="124" t="s">
        <v>112</v>
      </c>
      <c r="C51" s="69" t="s">
        <v>63</v>
      </c>
      <c r="D51" s="70" t="s">
        <v>115</v>
      </c>
      <c r="E51" s="69" t="s">
        <v>80</v>
      </c>
      <c r="F51" s="95">
        <f>0.26-0.103</f>
        <v>0.15700000000000003</v>
      </c>
      <c r="G51" s="12"/>
      <c r="H51" s="12"/>
      <c r="I51" s="12"/>
      <c r="J51" s="37">
        <f t="shared" si="0"/>
        <v>0.15700000000000003</v>
      </c>
      <c r="K51" s="71" t="s">
        <v>106</v>
      </c>
      <c r="L51" s="12"/>
      <c r="M51" s="12"/>
      <c r="N51" s="12"/>
      <c r="O51" s="12"/>
      <c r="P51" s="12"/>
      <c r="Q51" s="95" t="s">
        <v>106</v>
      </c>
      <c r="R51" s="95" t="s">
        <v>106</v>
      </c>
      <c r="S51" s="95" t="s">
        <v>106</v>
      </c>
      <c r="T51" s="37" t="s">
        <v>106</v>
      </c>
      <c r="U51" s="62"/>
      <c r="W51" s="59">
        <f t="shared" si="1"/>
        <v>0.35417095516184444</v>
      </c>
      <c r="X51" s="3"/>
      <c r="Y51" s="3"/>
    </row>
    <row r="52" spans="1:25" ht="19.5" customHeight="1" outlineLevel="2">
      <c r="A52" s="11">
        <v>36</v>
      </c>
      <c r="B52" s="124" t="s">
        <v>100</v>
      </c>
      <c r="C52" s="69" t="s">
        <v>63</v>
      </c>
      <c r="D52" s="70" t="s">
        <v>115</v>
      </c>
      <c r="E52" s="69" t="s">
        <v>75</v>
      </c>
      <c r="F52" s="95">
        <v>0.058</v>
      </c>
      <c r="G52" s="12"/>
      <c r="H52" s="12"/>
      <c r="I52" s="12"/>
      <c r="J52" s="37">
        <f t="shared" si="0"/>
        <v>0.058</v>
      </c>
      <c r="K52" s="71"/>
      <c r="L52" s="12"/>
      <c r="M52" s="12"/>
      <c r="N52" s="12"/>
      <c r="O52" s="12"/>
      <c r="P52" s="12"/>
      <c r="Q52" s="95" t="s">
        <v>106</v>
      </c>
      <c r="R52" s="95" t="s">
        <v>106</v>
      </c>
      <c r="S52" s="95"/>
      <c r="T52" s="37" t="s">
        <v>106</v>
      </c>
      <c r="U52" s="62"/>
      <c r="W52" s="59">
        <f t="shared" si="1"/>
        <v>0.1308402254738024</v>
      </c>
      <c r="X52" s="3"/>
      <c r="Y52" s="3"/>
    </row>
    <row r="53" spans="1:25" ht="19.5" customHeight="1" outlineLevel="2">
      <c r="A53" s="11">
        <v>37</v>
      </c>
      <c r="B53" s="124" t="s">
        <v>108</v>
      </c>
      <c r="C53" s="69" t="s">
        <v>63</v>
      </c>
      <c r="D53" s="70" t="s">
        <v>65</v>
      </c>
      <c r="E53" s="69" t="s">
        <v>79</v>
      </c>
      <c r="F53" s="95">
        <v>0</v>
      </c>
      <c r="G53" s="12"/>
      <c r="H53" s="12"/>
      <c r="I53" s="12"/>
      <c r="J53" s="37">
        <f t="shared" si="0"/>
        <v>0</v>
      </c>
      <c r="K53" s="71"/>
      <c r="L53" s="12"/>
      <c r="M53" s="12"/>
      <c r="N53" s="12"/>
      <c r="O53" s="12"/>
      <c r="P53" s="12"/>
      <c r="Q53" s="95"/>
      <c r="R53" s="95"/>
      <c r="S53" s="95"/>
      <c r="T53" s="37" t="s">
        <v>106</v>
      </c>
      <c r="U53" s="62"/>
      <c r="W53" s="59">
        <f t="shared" si="1"/>
        <v>0</v>
      </c>
      <c r="X53" s="3"/>
      <c r="Y53" s="3"/>
    </row>
    <row r="54" spans="1:25" ht="19.5" customHeight="1" outlineLevel="2">
      <c r="A54" s="11">
        <v>38</v>
      </c>
      <c r="B54" s="124" t="s">
        <v>109</v>
      </c>
      <c r="C54" s="69" t="s">
        <v>63</v>
      </c>
      <c r="D54" s="70" t="s">
        <v>65</v>
      </c>
      <c r="E54" s="69" t="s">
        <v>79</v>
      </c>
      <c r="F54" s="95">
        <f>0.508-0.397</f>
        <v>0.11099999999999999</v>
      </c>
      <c r="G54" s="12"/>
      <c r="H54" s="12"/>
      <c r="I54" s="12"/>
      <c r="J54" s="37">
        <f t="shared" si="0"/>
        <v>0.11099999999999999</v>
      </c>
      <c r="K54" s="71"/>
      <c r="L54" s="12"/>
      <c r="M54" s="12" t="s">
        <v>106</v>
      </c>
      <c r="N54" s="12"/>
      <c r="O54" s="12"/>
      <c r="P54" s="12"/>
      <c r="Q54" s="95" t="s">
        <v>106</v>
      </c>
      <c r="R54" s="95" t="s">
        <v>106</v>
      </c>
      <c r="S54" s="95" t="s">
        <v>106</v>
      </c>
      <c r="T54" s="37" t="s">
        <v>106</v>
      </c>
      <c r="U54" s="62"/>
      <c r="W54" s="59">
        <f t="shared" si="1"/>
        <v>0.2504011211653804</v>
      </c>
      <c r="X54" s="3"/>
      <c r="Y54" s="3"/>
    </row>
    <row r="55" spans="1:25" ht="19.5" customHeight="1" outlineLevel="2">
      <c r="A55" s="11">
        <v>39</v>
      </c>
      <c r="B55" s="124" t="s">
        <v>110</v>
      </c>
      <c r="C55" s="69" t="s">
        <v>63</v>
      </c>
      <c r="D55" s="70" t="s">
        <v>127</v>
      </c>
      <c r="E55" s="69" t="s">
        <v>73</v>
      </c>
      <c r="F55" s="95">
        <f>0.057-0.005</f>
        <v>0.052000000000000005</v>
      </c>
      <c r="G55" s="12"/>
      <c r="H55" s="12"/>
      <c r="I55" s="12"/>
      <c r="J55" s="37">
        <f t="shared" si="0"/>
        <v>0.052000000000000005</v>
      </c>
      <c r="K55" s="71"/>
      <c r="L55" s="12"/>
      <c r="M55" s="12"/>
      <c r="N55" s="12"/>
      <c r="O55" s="12"/>
      <c r="P55" s="12"/>
      <c r="Q55" s="95" t="s">
        <v>106</v>
      </c>
      <c r="R55" s="95" t="s">
        <v>106</v>
      </c>
      <c r="S55" s="95" t="s">
        <v>106</v>
      </c>
      <c r="T55" s="37" t="s">
        <v>106</v>
      </c>
      <c r="U55" s="62"/>
      <c r="W55" s="59">
        <f t="shared" si="1"/>
        <v>0.11730502973513318</v>
      </c>
      <c r="X55" s="3"/>
      <c r="Y55" s="3"/>
    </row>
    <row r="56" spans="1:25" ht="19.5" customHeight="1" outlineLevel="2">
      <c r="A56" s="11">
        <v>40</v>
      </c>
      <c r="B56" s="124" t="s">
        <v>111</v>
      </c>
      <c r="C56" s="69" t="s">
        <v>63</v>
      </c>
      <c r="D56" s="70" t="s">
        <v>115</v>
      </c>
      <c r="E56" s="69" t="s">
        <v>76</v>
      </c>
      <c r="F56" s="95">
        <v>0.341</v>
      </c>
      <c r="G56" s="12"/>
      <c r="H56" s="12"/>
      <c r="I56" s="12"/>
      <c r="J56" s="37">
        <f t="shared" si="0"/>
        <v>0.341</v>
      </c>
      <c r="K56" s="71"/>
      <c r="L56" s="12"/>
      <c r="M56" s="12"/>
      <c r="N56" s="12"/>
      <c r="O56" s="12"/>
      <c r="P56" s="12"/>
      <c r="Q56" s="95" t="s">
        <v>106</v>
      </c>
      <c r="R56" s="95" t="s">
        <v>106</v>
      </c>
      <c r="S56" s="95" t="s">
        <v>106</v>
      </c>
      <c r="T56" s="37" t="s">
        <v>106</v>
      </c>
      <c r="U56" s="62"/>
      <c r="W56" s="59">
        <f t="shared" si="1"/>
        <v>0.7692502911477003</v>
      </c>
      <c r="X56" s="3"/>
      <c r="Y56" s="3"/>
    </row>
    <row r="57" spans="1:25" ht="19.5" customHeight="1" outlineLevel="2">
      <c r="A57" s="11">
        <v>41</v>
      </c>
      <c r="B57" s="124" t="s">
        <v>113</v>
      </c>
      <c r="C57" s="69" t="s">
        <v>63</v>
      </c>
      <c r="D57" s="70" t="s">
        <v>65</v>
      </c>
      <c r="E57" s="69" t="s">
        <v>81</v>
      </c>
      <c r="F57" s="95">
        <v>0.025</v>
      </c>
      <c r="G57" s="12"/>
      <c r="H57" s="12"/>
      <c r="I57" s="12"/>
      <c r="J57" s="37">
        <f t="shared" si="0"/>
        <v>0.025</v>
      </c>
      <c r="K57" s="71"/>
      <c r="L57" s="12"/>
      <c r="M57" s="12"/>
      <c r="N57" s="12"/>
      <c r="O57" s="12"/>
      <c r="P57" s="12"/>
      <c r="Q57" s="95" t="s">
        <v>106</v>
      </c>
      <c r="R57" s="95" t="s">
        <v>106</v>
      </c>
      <c r="S57" s="95" t="s">
        <v>106</v>
      </c>
      <c r="T57" s="37" t="s">
        <v>106</v>
      </c>
      <c r="U57" s="62"/>
      <c r="W57" s="59">
        <f t="shared" si="1"/>
        <v>0.05639664891112172</v>
      </c>
      <c r="X57" s="3"/>
      <c r="Y57" s="3"/>
    </row>
    <row r="58" spans="1:25" ht="19.5" customHeight="1" outlineLevel="2">
      <c r="A58" s="11">
        <v>42</v>
      </c>
      <c r="B58" s="124" t="s">
        <v>132</v>
      </c>
      <c r="C58" s="69" t="s">
        <v>63</v>
      </c>
      <c r="D58" s="70" t="s">
        <v>115</v>
      </c>
      <c r="E58" s="69" t="s">
        <v>76</v>
      </c>
      <c r="F58" s="95">
        <v>0.234</v>
      </c>
      <c r="G58" s="12"/>
      <c r="H58" s="12"/>
      <c r="I58" s="12"/>
      <c r="J58" s="37">
        <f t="shared" si="0"/>
        <v>0.234</v>
      </c>
      <c r="K58" s="71" t="s">
        <v>106</v>
      </c>
      <c r="L58" s="12"/>
      <c r="M58" s="12"/>
      <c r="N58" s="12"/>
      <c r="O58" s="12"/>
      <c r="P58" s="12"/>
      <c r="Q58" s="95"/>
      <c r="R58" s="95"/>
      <c r="S58" s="95"/>
      <c r="T58" s="37" t="s">
        <v>106</v>
      </c>
      <c r="U58" s="62"/>
      <c r="W58" s="59">
        <f t="shared" si="1"/>
        <v>0.5278726338080993</v>
      </c>
      <c r="X58" s="3"/>
      <c r="Y58" s="3"/>
    </row>
    <row r="59" spans="1:25" ht="19.5" customHeight="1" outlineLevel="2">
      <c r="A59" s="11">
        <v>43</v>
      </c>
      <c r="B59" s="124" t="s">
        <v>133</v>
      </c>
      <c r="C59" s="69" t="s">
        <v>63</v>
      </c>
      <c r="D59" s="70" t="s">
        <v>115</v>
      </c>
      <c r="E59" s="69" t="s">
        <v>76</v>
      </c>
      <c r="F59" s="95">
        <v>0.487</v>
      </c>
      <c r="G59" s="12"/>
      <c r="H59" s="12"/>
      <c r="I59" s="12"/>
      <c r="J59" s="37">
        <f t="shared" si="0"/>
        <v>0.487</v>
      </c>
      <c r="K59" s="71"/>
      <c r="L59" s="12"/>
      <c r="M59" s="12" t="s">
        <v>106</v>
      </c>
      <c r="N59" s="12" t="s">
        <v>106</v>
      </c>
      <c r="O59" s="12"/>
      <c r="P59" s="12" t="s">
        <v>106</v>
      </c>
      <c r="Q59" s="95"/>
      <c r="R59" s="95"/>
      <c r="S59" s="95"/>
      <c r="T59" s="37" t="s">
        <v>106</v>
      </c>
      <c r="U59" s="62"/>
      <c r="W59" s="59">
        <f t="shared" si="1"/>
        <v>1.098606720788651</v>
      </c>
      <c r="X59" s="3"/>
      <c r="Y59" s="3"/>
    </row>
    <row r="60" spans="1:25" ht="19.5" customHeight="1" outlineLevel="2">
      <c r="A60" s="11">
        <v>44</v>
      </c>
      <c r="B60" s="124" t="s">
        <v>134</v>
      </c>
      <c r="C60" s="69" t="s">
        <v>63</v>
      </c>
      <c r="D60" s="70" t="s">
        <v>115</v>
      </c>
      <c r="E60" s="69" t="s">
        <v>76</v>
      </c>
      <c r="F60" s="95">
        <v>0.12</v>
      </c>
      <c r="G60" s="12"/>
      <c r="H60" s="12"/>
      <c r="I60" s="12"/>
      <c r="J60" s="37">
        <f t="shared" si="0"/>
        <v>0.12</v>
      </c>
      <c r="K60" s="71" t="s">
        <v>106</v>
      </c>
      <c r="L60" s="12"/>
      <c r="M60" s="12"/>
      <c r="N60" s="12"/>
      <c r="O60" s="12"/>
      <c r="P60" s="12"/>
      <c r="Q60" s="95"/>
      <c r="R60" s="95"/>
      <c r="S60" s="95" t="s">
        <v>106</v>
      </c>
      <c r="T60" s="37" t="s">
        <v>106</v>
      </c>
      <c r="U60" s="62"/>
      <c r="W60" s="59">
        <f t="shared" si="1"/>
        <v>0.27070391477338424</v>
      </c>
      <c r="X60" s="3"/>
      <c r="Y60" s="3"/>
    </row>
    <row r="61" spans="1:25" ht="19.5" customHeight="1" outlineLevel="2" thickBot="1">
      <c r="A61" s="11">
        <v>45</v>
      </c>
      <c r="B61" s="127" t="s">
        <v>135</v>
      </c>
      <c r="C61" s="74" t="s">
        <v>63</v>
      </c>
      <c r="D61" s="128" t="s">
        <v>65</v>
      </c>
      <c r="E61" s="74" t="s">
        <v>81</v>
      </c>
      <c r="F61" s="96">
        <v>1.254</v>
      </c>
      <c r="G61" s="75"/>
      <c r="H61" s="75"/>
      <c r="I61" s="75"/>
      <c r="J61" s="76">
        <f t="shared" si="0"/>
        <v>1.254</v>
      </c>
      <c r="K61" s="87"/>
      <c r="L61" s="75"/>
      <c r="M61" s="75" t="s">
        <v>106</v>
      </c>
      <c r="N61" s="75"/>
      <c r="O61" s="75"/>
      <c r="P61" s="75"/>
      <c r="Q61" s="96"/>
      <c r="R61" s="96"/>
      <c r="S61" s="96" t="s">
        <v>106</v>
      </c>
      <c r="T61" s="76" t="s">
        <v>106</v>
      </c>
      <c r="U61" s="62"/>
      <c r="W61" s="59">
        <f t="shared" si="1"/>
        <v>2.8288559093818653</v>
      </c>
      <c r="X61" s="3"/>
      <c r="Y61" s="3"/>
    </row>
    <row r="62" spans="1:21" s="13" customFormat="1" ht="19.5" customHeight="1" outlineLevel="2" thickBot="1">
      <c r="A62" s="79" t="s">
        <v>44</v>
      </c>
      <c r="B62" s="63"/>
      <c r="C62" s="61"/>
      <c r="D62" s="64"/>
      <c r="E62" s="64"/>
      <c r="F62" s="65">
        <f>SUM(F17:F61)</f>
        <v>49.969</v>
      </c>
      <c r="G62" s="65">
        <f>SUM(G17:G52)</f>
        <v>2.760125</v>
      </c>
      <c r="H62" s="65"/>
      <c r="I62" s="99">
        <v>2.88</v>
      </c>
      <c r="J62" s="65">
        <f>SUM(J17:J61)</f>
        <v>44.32887499999999</v>
      </c>
      <c r="K62" s="66">
        <f>J22+J28+J30+J51+J60+J58</f>
        <v>4.368</v>
      </c>
      <c r="L62" s="67">
        <f>J34+J46</f>
        <v>8.895000000000001</v>
      </c>
      <c r="M62" s="67">
        <f>J34+J54+J21+J61+J59+J50+J46+J45</f>
        <v>13.247</v>
      </c>
      <c r="N62" s="67">
        <f>J34+J35+J17+J50+J43+J59</f>
        <v>17.744</v>
      </c>
      <c r="O62" s="97">
        <f>J17+J20+J34+J35+J43+J32+J19+J44</f>
        <v>22.347000000000005</v>
      </c>
      <c r="P62" s="67">
        <f>J17+J20+J31+J32+J34+J35+J36+J22+J39+J21+J59</f>
        <v>26.592875000000003</v>
      </c>
      <c r="Q62" s="97">
        <f>J17+J19+J20+J31+J32+J34+J35+J36+J43+J57+J56+J55+J54+J52+J51+J50+J46+J45+J21+J22+J23+J39+J42+J30</f>
        <v>31.002875000000003</v>
      </c>
      <c r="R62" s="97">
        <f>J17+J20+J31+J32+J34+J35+J36+J43+J44+J45+J46+J19+J21+J22+J23+J24+J29+J50+J51+J52+J54+J55+J56+J57+J41+J27</f>
        <v>35.652</v>
      </c>
      <c r="S62" s="97">
        <f>J17+J20+J24+J31+J32+J33+J34+J35+J36+J43+J44+J46+J19+J22+J23+J26+J28+J51+J29+J30+J54+J57+J56+J55+J45+J39+J60+J61+J49</f>
        <v>39.68787499999998</v>
      </c>
      <c r="T62" s="68">
        <f>J62</f>
        <v>44.32887499999999</v>
      </c>
      <c r="U62" s="38"/>
    </row>
    <row r="63" spans="6:7" ht="18" customHeight="1">
      <c r="F63" s="58"/>
      <c r="G63" s="7"/>
    </row>
    <row r="64" spans="1:20" ht="20.25" customHeight="1">
      <c r="A64" s="14" t="s">
        <v>59</v>
      </c>
      <c r="F64" s="7"/>
      <c r="G64" s="13" t="s">
        <v>60</v>
      </c>
      <c r="I64" s="58"/>
      <c r="K64" s="100">
        <f>K62/$J$62</f>
        <v>0.09853622497751187</v>
      </c>
      <c r="L64" s="100">
        <f aca="true" t="shared" si="2" ref="L64:T64">L62/$J$62</f>
        <v>0.2006592768257711</v>
      </c>
      <c r="M64" s="100">
        <f t="shared" si="2"/>
        <v>0.29883456325025176</v>
      </c>
      <c r="N64" s="100">
        <f t="shared" si="2"/>
        <v>0.4002808553115775</v>
      </c>
      <c r="O64" s="100">
        <f t="shared" si="2"/>
        <v>0.5041183652867349</v>
      </c>
      <c r="P64" s="100">
        <f t="shared" si="2"/>
        <v>0.5998996139649384</v>
      </c>
      <c r="Q64" s="100">
        <f t="shared" si="2"/>
        <v>0.6993833026441572</v>
      </c>
      <c r="R64" s="100">
        <f t="shared" si="2"/>
        <v>0.8042613307917246</v>
      </c>
      <c r="S64" s="100">
        <f t="shared" si="2"/>
        <v>0.8953052609613934</v>
      </c>
      <c r="T64" s="100">
        <f t="shared" si="2"/>
        <v>1</v>
      </c>
    </row>
    <row r="65" spans="1:20" ht="20.25" customHeight="1">
      <c r="A65" s="14"/>
      <c r="F65" s="7"/>
      <c r="I65" s="58"/>
      <c r="K65" s="7"/>
      <c r="L65" s="7"/>
      <c r="M65" s="7"/>
      <c r="N65" s="7"/>
      <c r="O65" s="7"/>
      <c r="P65" s="7"/>
      <c r="T65" s="7"/>
    </row>
    <row r="66" spans="6:20" ht="12.75">
      <c r="F66" s="86"/>
      <c r="K66" s="7"/>
      <c r="L66" s="7"/>
      <c r="M66" s="7"/>
      <c r="N66" s="7"/>
      <c r="O66" s="7"/>
      <c r="P66" s="7"/>
      <c r="T66" s="7"/>
    </row>
    <row r="67" spans="1:20" ht="19.5" customHeight="1">
      <c r="A67" s="7" t="s">
        <v>46</v>
      </c>
      <c r="F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10" ht="21" customHeight="1">
      <c r="A68" s="43" t="s">
        <v>47</v>
      </c>
      <c r="B68" s="43"/>
      <c r="C68" s="43"/>
      <c r="D68" s="43"/>
      <c r="E68" s="105" t="s">
        <v>122</v>
      </c>
      <c r="F68" s="106"/>
      <c r="G68" s="107" t="s">
        <v>123</v>
      </c>
      <c r="H68" s="108" t="s">
        <v>124</v>
      </c>
      <c r="I68" s="109" t="s">
        <v>125</v>
      </c>
      <c r="J68" s="104" t="s">
        <v>126</v>
      </c>
    </row>
    <row r="69" spans="3:12" ht="12" customHeight="1">
      <c r="C69" s="58">
        <f aca="true" t="shared" si="3" ref="C69:C74">E69-F69</f>
        <v>0</v>
      </c>
      <c r="D69" s="6" t="s">
        <v>64</v>
      </c>
      <c r="E69" s="103">
        <v>15.797</v>
      </c>
      <c r="F69" s="58">
        <f>F17+F18+F21++F22+F32+F33+F49+F50</f>
        <v>15.797</v>
      </c>
      <c r="G69" s="58">
        <f>G17+G18+G21+G22+G32+G33+G49+G50</f>
        <v>0.702</v>
      </c>
      <c r="H69" s="58">
        <f>H17+H18+H21+H22+H32+H33+H49+H50</f>
        <v>0</v>
      </c>
      <c r="I69" s="58">
        <f>I17+I18+I21+I22+I32+I33+I49+I50</f>
        <v>0.701</v>
      </c>
      <c r="J69" s="110">
        <f>25*24/1000</f>
        <v>0.6</v>
      </c>
      <c r="L69" s="111"/>
    </row>
    <row r="70" spans="1:10" ht="12.75">
      <c r="A70" s="6"/>
      <c r="C70" s="58">
        <f t="shared" si="3"/>
        <v>0</v>
      </c>
      <c r="D70" s="6" t="s">
        <v>117</v>
      </c>
      <c r="E70" s="103">
        <v>8.582</v>
      </c>
      <c r="F70" s="58">
        <f>F34</f>
        <v>8.582</v>
      </c>
      <c r="G70" s="58">
        <f>G34</f>
        <v>0</v>
      </c>
      <c r="H70" s="58">
        <f>H34</f>
        <v>0</v>
      </c>
      <c r="I70" s="58">
        <f>I34</f>
        <v>0</v>
      </c>
      <c r="J70" s="104">
        <f>(2+17)*24/1000</f>
        <v>0.456</v>
      </c>
    </row>
    <row r="71" spans="3:10" ht="12.75">
      <c r="C71" s="58">
        <f t="shared" si="3"/>
        <v>0</v>
      </c>
      <c r="D71" s="6" t="s">
        <v>118</v>
      </c>
      <c r="E71" s="104">
        <v>0</v>
      </c>
      <c r="F71" s="58">
        <v>0</v>
      </c>
      <c r="G71" s="58">
        <f>G19+G20+G38+G41+G42+G55</f>
        <v>0.9810000000000001</v>
      </c>
      <c r="H71" s="58">
        <f>H19+H20+H38+H41+H42+H55</f>
        <v>0</v>
      </c>
      <c r="I71" s="58">
        <f>I19+I20+I38+I41+I42+I55</f>
        <v>1.101</v>
      </c>
      <c r="J71" s="104">
        <v>0</v>
      </c>
    </row>
    <row r="72" spans="3:10" ht="12.75">
      <c r="C72" s="58">
        <f t="shared" si="3"/>
        <v>0</v>
      </c>
      <c r="D72" s="6" t="s">
        <v>119</v>
      </c>
      <c r="E72" s="104">
        <v>11.397</v>
      </c>
      <c r="F72" s="58">
        <f>F23+F24+F25+F28+F35+F39+F40+F43+F44+F45+F46+F47+F48+F51+F52+F56+F58+F59+F60</f>
        <v>11.396999999999998</v>
      </c>
      <c r="G72" s="58">
        <f>G23+G24+G25+G28+G35+G39+G40+G43+G44+G45+G46+G47+G48+G51+G52+G56</f>
        <v>1.0771249999999999</v>
      </c>
      <c r="H72" s="58">
        <f>H23+H24+H25+H28+H35+H39+H40+H43+H44+H45+H46+H47+H48+H51+H52+H56</f>
        <v>0</v>
      </c>
      <c r="I72" s="58">
        <f>I23+I24+I25+I28+I35+I39+I40+I43+I44+I45+I46+I47+I48+I51+I52+I56</f>
        <v>1.078</v>
      </c>
      <c r="J72" s="104">
        <v>0</v>
      </c>
    </row>
    <row r="73" spans="3:10" ht="12.75">
      <c r="C73" s="58">
        <f t="shared" si="3"/>
        <v>0</v>
      </c>
      <c r="D73" s="6" t="s">
        <v>120</v>
      </c>
      <c r="E73" s="104">
        <v>10.444</v>
      </c>
      <c r="F73" s="58">
        <f>F26+F27+F29+F30+F31+F36+F37+F53+F54+F57+F61</f>
        <v>10.444</v>
      </c>
      <c r="G73" s="58">
        <f>G26+G27+G29+G30+G31+G36+G37+G53+G54+G57</f>
        <v>0</v>
      </c>
      <c r="H73" s="58">
        <f>H26+H27+H29+H30+H31+H36+H37+H53+H54+H57</f>
        <v>0</v>
      </c>
      <c r="I73" s="58">
        <f>I26+I27+I29+I30+I31+I36+I37+I53+I54+I57</f>
        <v>0</v>
      </c>
      <c r="J73" s="104">
        <f>(13+3+3)*24/1000</f>
        <v>0.456</v>
      </c>
    </row>
    <row r="74" spans="3:10" ht="12.75">
      <c r="C74" s="58">
        <f t="shared" si="3"/>
        <v>0</v>
      </c>
      <c r="D74" s="6" t="s">
        <v>121</v>
      </c>
      <c r="E74" s="104">
        <v>3.749</v>
      </c>
      <c r="F74" s="58">
        <f>F19+F20+F38+F41+F42+F55</f>
        <v>3.7489999999999997</v>
      </c>
      <c r="J74" s="104">
        <f>(5+47)*24/1000</f>
        <v>1.248</v>
      </c>
    </row>
  </sheetData>
  <sheetProtection/>
  <autoFilter ref="A16:T62"/>
  <mergeCells count="11"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T14"/>
  </mergeCells>
  <printOptions/>
  <pageMargins left="0.2" right="0.2" top="1" bottom="1" header="0.5" footer="0.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75" zoomScaleNormal="75" zoomScaleSheetLayoutView="75" zoomScalePageLayoutView="0" workbookViewId="0" topLeftCell="A14">
      <selection activeCell="C18" sqref="C18:C20"/>
    </sheetView>
  </sheetViews>
  <sheetFormatPr defaultColWidth="9.00390625" defaultRowHeight="12.75" outlineLevelRow="2"/>
  <cols>
    <col min="1" max="1" width="10.25390625" style="7" customWidth="1"/>
    <col min="2" max="2" width="18.125" style="8" customWidth="1"/>
    <col min="3" max="3" width="14.75390625" style="6" customWidth="1"/>
    <col min="4" max="4" width="13.125" style="6" customWidth="1"/>
    <col min="5" max="5" width="16.375" style="6" customWidth="1"/>
    <col min="6" max="6" width="13.125" style="6" customWidth="1"/>
    <col min="7" max="7" width="16.75390625" style="6" customWidth="1"/>
    <col min="8" max="8" width="22.375" style="6" customWidth="1"/>
    <col min="9" max="9" width="51.25390625" style="6" customWidth="1"/>
    <col min="10" max="10" width="32.125" style="6" customWidth="1"/>
    <col min="11" max="11" width="16.125" style="6" customWidth="1"/>
    <col min="12" max="12" width="12.625" style="6" customWidth="1"/>
    <col min="13" max="16384" width="9.125" style="6" customWidth="1"/>
  </cols>
  <sheetData>
    <row r="1" spans="8:9" ht="20.25">
      <c r="H1" s="53"/>
      <c r="I1" s="53" t="s">
        <v>50</v>
      </c>
    </row>
    <row r="2" spans="1:3" s="13" customFormat="1" ht="27.75" customHeight="1">
      <c r="A2" s="14" t="s">
        <v>19</v>
      </c>
      <c r="B2" s="15"/>
      <c r="C2" s="15"/>
    </row>
    <row r="3" spans="1:3" s="24" customFormat="1" ht="27.75" customHeight="1">
      <c r="A3" s="25" t="s">
        <v>57</v>
      </c>
      <c r="B3" s="26"/>
      <c r="C3" s="26"/>
    </row>
    <row r="4" spans="2:4" s="44" customFormat="1" ht="15.75" customHeight="1">
      <c r="B4" s="51" t="s">
        <v>48</v>
      </c>
      <c r="C4" s="52"/>
      <c r="D4" s="52"/>
    </row>
    <row r="5" spans="1:8" s="24" customFormat="1" ht="21.75" customHeight="1">
      <c r="A5" s="25" t="s">
        <v>58</v>
      </c>
      <c r="B5" s="26"/>
      <c r="C5" s="26"/>
      <c r="G5" s="25"/>
      <c r="H5" s="25"/>
    </row>
    <row r="6" spans="1:8" s="28" customFormat="1" ht="12" customHeight="1">
      <c r="A6" s="46" t="s">
        <v>54</v>
      </c>
      <c r="B6" s="29"/>
      <c r="C6" s="29"/>
      <c r="G6" s="30"/>
      <c r="H6" s="30"/>
    </row>
    <row r="7" spans="1:8" ht="19.5" customHeight="1">
      <c r="A7" s="7" t="s">
        <v>131</v>
      </c>
      <c r="C7" s="8"/>
      <c r="G7" s="7"/>
      <c r="H7" s="7"/>
    </row>
    <row r="10" spans="2:12" s="2" customFormat="1" ht="20.25">
      <c r="B10" s="16"/>
      <c r="C10" s="16"/>
      <c r="D10" s="16"/>
      <c r="E10" s="16"/>
      <c r="F10" s="16" t="s">
        <v>6</v>
      </c>
      <c r="G10" s="16"/>
      <c r="H10" s="16"/>
      <c r="I10" s="16"/>
      <c r="J10" s="16"/>
      <c r="K10" s="16"/>
      <c r="L10" s="16"/>
    </row>
    <row r="11" spans="2:12" ht="20.25">
      <c r="B11" s="16"/>
      <c r="C11" s="16"/>
      <c r="D11" s="16"/>
      <c r="E11" s="16"/>
      <c r="F11" s="16" t="s">
        <v>18</v>
      </c>
      <c r="G11" s="16"/>
      <c r="H11" s="16"/>
      <c r="I11" s="16"/>
      <c r="J11" s="34"/>
      <c r="K11" s="34"/>
      <c r="L11" s="34"/>
    </row>
    <row r="12" spans="2:14" ht="20.25">
      <c r="B12" s="16"/>
      <c r="C12" s="16"/>
      <c r="D12" s="16"/>
      <c r="E12" s="16"/>
      <c r="F12" s="16" t="s">
        <v>129</v>
      </c>
      <c r="G12" s="16"/>
      <c r="H12" s="16"/>
      <c r="I12" s="16"/>
      <c r="J12" s="16"/>
      <c r="K12" s="16"/>
      <c r="L12" s="16"/>
      <c r="M12" s="17"/>
      <c r="N12" s="17"/>
    </row>
    <row r="13" spans="2:14" ht="20.25">
      <c r="B13" s="32"/>
      <c r="C13" s="32"/>
      <c r="D13" s="32"/>
      <c r="E13" s="32"/>
      <c r="F13" s="32" t="s">
        <v>25</v>
      </c>
      <c r="G13" s="32"/>
      <c r="H13" s="32"/>
      <c r="I13" s="32"/>
      <c r="J13" s="32"/>
      <c r="K13" s="32"/>
      <c r="L13" s="32"/>
      <c r="M13" s="32"/>
      <c r="N13" s="16"/>
    </row>
    <row r="14" ht="16.5" thickBot="1">
      <c r="B14" s="1"/>
    </row>
    <row r="15" spans="1:9" s="2" customFormat="1" ht="96.75" customHeight="1" thickBot="1">
      <c r="A15" s="23" t="s">
        <v>5</v>
      </c>
      <c r="B15" s="9" t="s">
        <v>22</v>
      </c>
      <c r="C15" s="55" t="s">
        <v>21</v>
      </c>
      <c r="D15" s="9" t="s">
        <v>17</v>
      </c>
      <c r="E15" s="33" t="s">
        <v>24</v>
      </c>
      <c r="F15" s="9" t="s">
        <v>23</v>
      </c>
      <c r="G15" s="9" t="s">
        <v>16</v>
      </c>
      <c r="H15" s="49" t="s">
        <v>55</v>
      </c>
      <c r="I15" s="9" t="s">
        <v>53</v>
      </c>
    </row>
    <row r="16" spans="1:9" s="22" customFormat="1" ht="51" customHeight="1" hidden="1" thickBot="1">
      <c r="A16" s="47"/>
      <c r="B16" s="48" t="s">
        <v>15</v>
      </c>
      <c r="C16" s="48" t="s">
        <v>14</v>
      </c>
      <c r="D16" s="48" t="s">
        <v>13</v>
      </c>
      <c r="E16" s="48" t="s">
        <v>12</v>
      </c>
      <c r="F16" s="48"/>
      <c r="G16" s="48" t="s">
        <v>10</v>
      </c>
      <c r="H16" s="48"/>
      <c r="I16" s="48" t="s">
        <v>11</v>
      </c>
    </row>
    <row r="17" spans="1:9" s="10" customFormat="1" ht="15.75">
      <c r="A17" s="77">
        <v>1</v>
      </c>
      <c r="B17" s="112">
        <v>2</v>
      </c>
      <c r="C17" s="113">
        <v>3</v>
      </c>
      <c r="D17" s="112">
        <v>4</v>
      </c>
      <c r="E17" s="112">
        <v>5</v>
      </c>
      <c r="F17" s="112">
        <v>6</v>
      </c>
      <c r="G17" s="112">
        <v>7</v>
      </c>
      <c r="H17" s="112">
        <v>8</v>
      </c>
      <c r="I17" s="114">
        <v>9</v>
      </c>
    </row>
    <row r="18" spans="1:9" s="50" customFormat="1" ht="97.5" customHeight="1" outlineLevel="2" thickBot="1">
      <c r="A18" s="121">
        <v>4</v>
      </c>
      <c r="B18" s="119" t="s">
        <v>63</v>
      </c>
      <c r="C18" s="140" t="s">
        <v>64</v>
      </c>
      <c r="D18" s="102" t="s">
        <v>67</v>
      </c>
      <c r="E18" s="12" t="s">
        <v>68</v>
      </c>
      <c r="F18" s="102">
        <v>0.664</v>
      </c>
      <c r="G18" s="12">
        <v>0.664</v>
      </c>
      <c r="H18" s="101"/>
      <c r="I18" s="122" t="s">
        <v>128</v>
      </c>
    </row>
    <row r="19" spans="1:9" s="50" customFormat="1" ht="126.75" customHeight="1" outlineLevel="2">
      <c r="A19" s="120">
        <v>5</v>
      </c>
      <c r="B19" s="119" t="s">
        <v>63</v>
      </c>
      <c r="C19" s="140" t="s">
        <v>65</v>
      </c>
      <c r="D19" s="102" t="s">
        <v>67</v>
      </c>
      <c r="E19" s="12" t="s">
        <v>68</v>
      </c>
      <c r="F19" s="102">
        <v>0.357</v>
      </c>
      <c r="G19" s="12">
        <v>1.021</v>
      </c>
      <c r="H19" s="101"/>
      <c r="I19" s="122" t="s">
        <v>130</v>
      </c>
    </row>
    <row r="20" spans="1:9" s="50" customFormat="1" ht="97.5" customHeight="1" outlineLevel="2">
      <c r="A20" s="121">
        <v>6</v>
      </c>
      <c r="B20" s="119" t="s">
        <v>63</v>
      </c>
      <c r="C20" s="140" t="s">
        <v>66</v>
      </c>
      <c r="D20" s="102" t="s">
        <v>67</v>
      </c>
      <c r="E20" s="12" t="s">
        <v>68</v>
      </c>
      <c r="F20" s="102">
        <v>0</v>
      </c>
      <c r="G20" s="12">
        <v>1.021</v>
      </c>
      <c r="H20" s="101"/>
      <c r="I20" s="122" t="s">
        <v>114</v>
      </c>
    </row>
    <row r="21" spans="1:9" s="13" customFormat="1" ht="18.75" outlineLevel="2" thickBot="1">
      <c r="A21" s="79" t="s">
        <v>4</v>
      </c>
      <c r="B21" s="115"/>
      <c r="C21" s="61"/>
      <c r="D21" s="116"/>
      <c r="E21" s="67"/>
      <c r="F21" s="117">
        <f>SUM(F18:F20)</f>
        <v>1.021</v>
      </c>
      <c r="G21" s="67"/>
      <c r="H21" s="67">
        <f>H18</f>
        <v>0</v>
      </c>
      <c r="I21" s="118"/>
    </row>
    <row r="25" spans="1:9" s="13" customFormat="1" ht="18">
      <c r="A25" s="14" t="s">
        <v>59</v>
      </c>
      <c r="B25" s="8"/>
      <c r="C25" s="8"/>
      <c r="D25" s="6"/>
      <c r="E25" s="6"/>
      <c r="F25" s="6"/>
      <c r="G25" s="6"/>
      <c r="H25" s="6"/>
      <c r="I25" s="13" t="s">
        <v>62</v>
      </c>
    </row>
    <row r="27" ht="15">
      <c r="A27" s="21" t="s">
        <v>9</v>
      </c>
    </row>
    <row r="28" spans="1:2" s="2" customFormat="1" ht="17.25">
      <c r="A28" s="31" t="s">
        <v>20</v>
      </c>
      <c r="B28" s="20"/>
    </row>
    <row r="29" spans="1:2" s="2" customFormat="1" ht="15.75">
      <c r="A29" s="21" t="s">
        <v>8</v>
      </c>
      <c r="B29" s="20"/>
    </row>
    <row r="30" spans="1:2" s="2" customFormat="1" ht="17.25">
      <c r="A30" s="31" t="s">
        <v>52</v>
      </c>
      <c r="B30" s="20"/>
    </row>
    <row r="31" spans="1:2" s="2" customFormat="1" ht="15.75">
      <c r="A31" s="21" t="s">
        <v>26</v>
      </c>
      <c r="B31" s="20"/>
    </row>
    <row r="32" spans="1:2" s="2" customFormat="1" ht="15.75">
      <c r="A32" s="21" t="s">
        <v>27</v>
      </c>
      <c r="B32" s="20"/>
    </row>
  </sheetData>
  <sheetProtection/>
  <printOptions/>
  <pageMargins left="0.6692913385826772" right="0.1968503937007874" top="0.31496062992125984" bottom="0.31496062992125984" header="0.1968503937007874" footer="0.196850393700787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4" t="s">
        <v>0</v>
      </c>
      <c r="B5" t="e">
        <f>XLR_ERRNAME</f>
        <v>#NAME?</v>
      </c>
    </row>
    <row r="6" spans="1:3" ht="12.75">
      <c r="A6" t="s">
        <v>1</v>
      </c>
      <c r="B6" s="5" t="s">
        <v>2</v>
      </c>
      <c r="C6" s="5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Кравченко</cp:lastModifiedBy>
  <cp:lastPrinted>2023-07-11T06:18:12Z</cp:lastPrinted>
  <dcterms:created xsi:type="dcterms:W3CDTF">2002-03-28T05:35:31Z</dcterms:created>
  <dcterms:modified xsi:type="dcterms:W3CDTF">2023-07-18T05:07:52Z</dcterms:modified>
  <cp:category/>
  <cp:version/>
  <cp:contentType/>
  <cp:contentStatus/>
</cp:coreProperties>
</file>